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3040" windowHeight="9060" firstSheet="1" activeTab="1"/>
  </bookViews>
  <sheets>
    <sheet name="C.ECONOMICO" sheetId="4" r:id="rId1"/>
    <sheet name="ATTIVO PATR" sheetId="2" r:id="rId2"/>
    <sheet name="PASSIVO PATR" sheetId="3" r:id="rId3"/>
    <sheet name="Dettaglio CE" sheetId="9" r:id="rId4"/>
    <sheet name="Dettaglio SP Attivo" sheetId="10" r:id="rId5"/>
    <sheet name="Dettaglio SP Passivo" sheetId="11" r:id="rId6"/>
    <sheet name="Riepiloghi" sheetId="12" r:id="rId7"/>
  </sheets>
  <definedNames>
    <definedName name="_xlnm.Print_Area" localSheetId="1">'ATTIVO PATR'!$A$1:$AJ$92</definedName>
    <definedName name="_xlnm.Print_Area" localSheetId="0">C.ECONOMICO!$A$1:$AI$78</definedName>
    <definedName name="_xlnm.Print_Area" localSheetId="3">'Dettaglio CE'!$A$1:$K$78</definedName>
    <definedName name="_xlnm.Print_Area" localSheetId="4">'Dettaglio SP Attivo'!$A$1:$L$92</definedName>
    <definedName name="_xlnm.Print_Area" localSheetId="5">'Dettaglio SP Passivo'!$A$1:$L$58</definedName>
    <definedName name="_xlnm.Print_Area" localSheetId="2">'PASSIVO PATR'!$A$1:$AJ$58</definedName>
    <definedName name="_xlnm.Print_Area" localSheetId="6">Riepiloghi!$A$1:$J$14</definedName>
    <definedName name="_xlnm.Print_Titles" localSheetId="1">'ATTIVO PATR'!$1:$2</definedName>
    <definedName name="_xlnm.Print_Titles" localSheetId="4">'Dettaglio SP Attivo'!$1:$2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3" i="2" l="1"/>
  <c r="O6" i="3"/>
  <c r="X34" i="3" l="1"/>
  <c r="Y65" i="2"/>
  <c r="P35" i="3"/>
  <c r="O34" i="3"/>
  <c r="P65" i="2"/>
  <c r="W38" i="4"/>
  <c r="W23" i="4"/>
  <c r="X18" i="4"/>
  <c r="X14" i="4"/>
  <c r="U8" i="4"/>
  <c r="T26" i="4"/>
  <c r="Q26" i="4" l="1"/>
  <c r="R8" i="4"/>
  <c r="N23" i="4"/>
  <c r="O14" i="4"/>
  <c r="Z46" i="3" l="1"/>
  <c r="Y10" i="3" l="1"/>
  <c r="Y9" i="3"/>
  <c r="Y8" i="3"/>
  <c r="Y7" i="3"/>
  <c r="Y6" i="3"/>
  <c r="Y4" i="3"/>
  <c r="Z56" i="3"/>
  <c r="Z55" i="3"/>
  <c r="Z54" i="3"/>
  <c r="Z53" i="3"/>
  <c r="Z50" i="3"/>
  <c r="Z45" i="3"/>
  <c r="Z44" i="3"/>
  <c r="Z43" i="3"/>
  <c r="Z41" i="3"/>
  <c r="Z40" i="3"/>
  <c r="Z39" i="3"/>
  <c r="Z38" i="3"/>
  <c r="Z37" i="3"/>
  <c r="Z35" i="3"/>
  <c r="Z34" i="3"/>
  <c r="Z33" i="3"/>
  <c r="Z32" i="3"/>
  <c r="Z31" i="3"/>
  <c r="Z30" i="3"/>
  <c r="Z26" i="3"/>
  <c r="Z23" i="3"/>
  <c r="Z22" i="3"/>
  <c r="Z21" i="3"/>
  <c r="Z20" i="3"/>
  <c r="Z19" i="3"/>
  <c r="Z10" i="3"/>
  <c r="Z9" i="3"/>
  <c r="Z8" i="3"/>
  <c r="Z7" i="3"/>
  <c r="Z6" i="3"/>
  <c r="Z4" i="3"/>
  <c r="Z89" i="2"/>
  <c r="Z88" i="2"/>
  <c r="Z83" i="2"/>
  <c r="Z82" i="2"/>
  <c r="Z81" i="2"/>
  <c r="Z80" i="2"/>
  <c r="Z79" i="2"/>
  <c r="Z74" i="2"/>
  <c r="Z73" i="2"/>
  <c r="Z69" i="2"/>
  <c r="Z68" i="2"/>
  <c r="Z67" i="2"/>
  <c r="Z65" i="2"/>
  <c r="Z64" i="2"/>
  <c r="Z63" i="2"/>
  <c r="Z62" i="2"/>
  <c r="Z61" i="2"/>
  <c r="Z59" i="2"/>
  <c r="Z58" i="2"/>
  <c r="Z57" i="2"/>
  <c r="Z53" i="2"/>
  <c r="Z48" i="2"/>
  <c r="Z47" i="2"/>
  <c r="Z46" i="2"/>
  <c r="Z45" i="2"/>
  <c r="Z44" i="2"/>
  <c r="Z42" i="2"/>
  <c r="Z41" i="2"/>
  <c r="Z40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1" i="2"/>
  <c r="Z20" i="2"/>
  <c r="Z19" i="2"/>
  <c r="Z18" i="2"/>
  <c r="Z13" i="2"/>
  <c r="Z12" i="2"/>
  <c r="Z11" i="2"/>
  <c r="Z10" i="2"/>
  <c r="Z9" i="2"/>
  <c r="Z8" i="2"/>
  <c r="Z7" i="2"/>
  <c r="Z3" i="2"/>
  <c r="Y76" i="4"/>
  <c r="Y72" i="4"/>
  <c r="Y71" i="4"/>
  <c r="Y70" i="4"/>
  <c r="Y66" i="4"/>
  <c r="Y65" i="4"/>
  <c r="Y64" i="4"/>
  <c r="Y63" i="4"/>
  <c r="Y62" i="4"/>
  <c r="Y58" i="4"/>
  <c r="Y57" i="4"/>
  <c r="Y53" i="4"/>
  <c r="Y52" i="4"/>
  <c r="Y48" i="4"/>
  <c r="Y47" i="4"/>
  <c r="Y46" i="4"/>
  <c r="Y45" i="4"/>
  <c r="Y38" i="4"/>
  <c r="Y37" i="4"/>
  <c r="Y36" i="4"/>
  <c r="Y35" i="4"/>
  <c r="Y34" i="4"/>
  <c r="Y33" i="4"/>
  <c r="Y32" i="4"/>
  <c r="Y31" i="4"/>
  <c r="Y29" i="4"/>
  <c r="Y28" i="4"/>
  <c r="Y27" i="4"/>
  <c r="Y26" i="4"/>
  <c r="Y24" i="4"/>
  <c r="Y23" i="4"/>
  <c r="Y22" i="4"/>
  <c r="Y18" i="4"/>
  <c r="Y17" i="4"/>
  <c r="Y16" i="4"/>
  <c r="Y15" i="4"/>
  <c r="Y14" i="4"/>
  <c r="Y13" i="4"/>
  <c r="Y12" i="4"/>
  <c r="Y10" i="4"/>
  <c r="Y9" i="4"/>
  <c r="Y8" i="4"/>
  <c r="Y6" i="4"/>
  <c r="Y5" i="4"/>
  <c r="V10" i="3"/>
  <c r="V9" i="3"/>
  <c r="V8" i="3"/>
  <c r="V7" i="3"/>
  <c r="V6" i="3"/>
  <c r="V4" i="3"/>
  <c r="W56" i="3"/>
  <c r="W55" i="3"/>
  <c r="W54" i="3"/>
  <c r="W53" i="3"/>
  <c r="W50" i="3"/>
  <c r="W46" i="3"/>
  <c r="W45" i="3"/>
  <c r="W44" i="3"/>
  <c r="W43" i="3"/>
  <c r="W41" i="3"/>
  <c r="W40" i="3"/>
  <c r="W39" i="3"/>
  <c r="W38" i="3"/>
  <c r="W37" i="3"/>
  <c r="W35" i="3"/>
  <c r="W34" i="3"/>
  <c r="W33" i="3"/>
  <c r="W32" i="3"/>
  <c r="W31" i="3"/>
  <c r="W30" i="3"/>
  <c r="W26" i="3"/>
  <c r="W23" i="3"/>
  <c r="W22" i="3"/>
  <c r="W21" i="3"/>
  <c r="W20" i="3"/>
  <c r="W19" i="3"/>
  <c r="W10" i="3"/>
  <c r="W9" i="3"/>
  <c r="W8" i="3"/>
  <c r="W7" i="3"/>
  <c r="W6" i="3"/>
  <c r="W4" i="3"/>
  <c r="W89" i="2"/>
  <c r="W88" i="2"/>
  <c r="W83" i="2"/>
  <c r="W82" i="2"/>
  <c r="W81" i="2"/>
  <c r="W80" i="2"/>
  <c r="W79" i="2"/>
  <c r="W74" i="2"/>
  <c r="W73" i="2"/>
  <c r="W69" i="2"/>
  <c r="W68" i="2"/>
  <c r="W67" i="2"/>
  <c r="W65" i="2"/>
  <c r="W64" i="2"/>
  <c r="W63" i="2"/>
  <c r="W62" i="2"/>
  <c r="W61" i="2"/>
  <c r="W59" i="2"/>
  <c r="W58" i="2"/>
  <c r="W57" i="2"/>
  <c r="W53" i="2"/>
  <c r="W48" i="2"/>
  <c r="W47" i="2"/>
  <c r="W46" i="2"/>
  <c r="W45" i="2"/>
  <c r="W44" i="2"/>
  <c r="W42" i="2"/>
  <c r="W41" i="2"/>
  <c r="W40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1" i="2"/>
  <c r="W20" i="2"/>
  <c r="W19" i="2"/>
  <c r="W18" i="2"/>
  <c r="W13" i="2"/>
  <c r="W12" i="2"/>
  <c r="W11" i="2"/>
  <c r="W10" i="2"/>
  <c r="W9" i="2"/>
  <c r="W8" i="2"/>
  <c r="W7" i="2"/>
  <c r="W3" i="2"/>
  <c r="V76" i="4"/>
  <c r="V72" i="4"/>
  <c r="V71" i="4"/>
  <c r="V70" i="4"/>
  <c r="V66" i="4"/>
  <c r="V65" i="4"/>
  <c r="V64" i="4"/>
  <c r="V63" i="4"/>
  <c r="V62" i="4"/>
  <c r="V58" i="4"/>
  <c r="V57" i="4"/>
  <c r="V53" i="4"/>
  <c r="V52" i="4"/>
  <c r="V48" i="4"/>
  <c r="V47" i="4"/>
  <c r="V46" i="4"/>
  <c r="V45" i="4"/>
  <c r="V38" i="4"/>
  <c r="V37" i="4"/>
  <c r="V36" i="4"/>
  <c r="V35" i="4"/>
  <c r="V34" i="4"/>
  <c r="V33" i="4"/>
  <c r="V32" i="4"/>
  <c r="V31" i="4"/>
  <c r="V29" i="4"/>
  <c r="V28" i="4"/>
  <c r="V27" i="4"/>
  <c r="V26" i="4"/>
  <c r="V24" i="4"/>
  <c r="V23" i="4"/>
  <c r="V22" i="4"/>
  <c r="V18" i="4"/>
  <c r="V17" i="4"/>
  <c r="V16" i="4"/>
  <c r="V15" i="4"/>
  <c r="V14" i="4"/>
  <c r="V13" i="4"/>
  <c r="V12" i="4"/>
  <c r="V10" i="4"/>
  <c r="V9" i="4"/>
  <c r="V8" i="4"/>
  <c r="V6" i="4"/>
  <c r="V5" i="4"/>
  <c r="S10" i="3"/>
  <c r="S9" i="3"/>
  <c r="S8" i="3"/>
  <c r="S7" i="3"/>
  <c r="S6" i="3"/>
  <c r="S4" i="3"/>
  <c r="T56" i="3"/>
  <c r="T55" i="3"/>
  <c r="T54" i="3"/>
  <c r="T53" i="3"/>
  <c r="T50" i="3"/>
  <c r="T46" i="3"/>
  <c r="T45" i="3"/>
  <c r="T44" i="3"/>
  <c r="T43" i="3"/>
  <c r="T41" i="3"/>
  <c r="T40" i="3"/>
  <c r="T39" i="3"/>
  <c r="T38" i="3"/>
  <c r="T37" i="3"/>
  <c r="T35" i="3"/>
  <c r="T34" i="3"/>
  <c r="T33" i="3"/>
  <c r="T32" i="3"/>
  <c r="T31" i="3"/>
  <c r="T30" i="3"/>
  <c r="T26" i="3"/>
  <c r="T23" i="3"/>
  <c r="T22" i="3"/>
  <c r="T21" i="3"/>
  <c r="T20" i="3"/>
  <c r="T19" i="3"/>
  <c r="T10" i="3"/>
  <c r="T9" i="3"/>
  <c r="T8" i="3"/>
  <c r="T7" i="3"/>
  <c r="T6" i="3"/>
  <c r="T4" i="3"/>
  <c r="T89" i="2"/>
  <c r="T88" i="2"/>
  <c r="T83" i="2"/>
  <c r="T82" i="2"/>
  <c r="T81" i="2"/>
  <c r="T80" i="2"/>
  <c r="T79" i="2"/>
  <c r="T74" i="2"/>
  <c r="T73" i="2"/>
  <c r="T69" i="2"/>
  <c r="T68" i="2"/>
  <c r="T67" i="2"/>
  <c r="T65" i="2"/>
  <c r="T64" i="2"/>
  <c r="T63" i="2"/>
  <c r="T62" i="2"/>
  <c r="T61" i="2"/>
  <c r="T59" i="2"/>
  <c r="T58" i="2"/>
  <c r="T57" i="2"/>
  <c r="T53" i="2"/>
  <c r="T48" i="2"/>
  <c r="T47" i="2"/>
  <c r="T46" i="2"/>
  <c r="T45" i="2"/>
  <c r="T44" i="2"/>
  <c r="T42" i="2"/>
  <c r="T41" i="2"/>
  <c r="T40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1" i="2"/>
  <c r="T20" i="2"/>
  <c r="T19" i="2"/>
  <c r="T18" i="2"/>
  <c r="T13" i="2"/>
  <c r="T12" i="2"/>
  <c r="T11" i="2"/>
  <c r="T10" i="2"/>
  <c r="T9" i="2"/>
  <c r="T8" i="2"/>
  <c r="T7" i="2"/>
  <c r="T3" i="2"/>
  <c r="S76" i="4"/>
  <c r="S72" i="4"/>
  <c r="S71" i="4"/>
  <c r="S70" i="4"/>
  <c r="S66" i="4"/>
  <c r="S65" i="4"/>
  <c r="S64" i="4"/>
  <c r="S63" i="4"/>
  <c r="S62" i="4"/>
  <c r="S58" i="4"/>
  <c r="S57" i="4"/>
  <c r="S53" i="4"/>
  <c r="S52" i="4"/>
  <c r="S48" i="4"/>
  <c r="S47" i="4"/>
  <c r="S46" i="4"/>
  <c r="S45" i="4"/>
  <c r="S38" i="4"/>
  <c r="S37" i="4"/>
  <c r="S36" i="4"/>
  <c r="S35" i="4"/>
  <c r="S34" i="4"/>
  <c r="S33" i="4"/>
  <c r="S32" i="4"/>
  <c r="S31" i="4"/>
  <c r="S29" i="4"/>
  <c r="S28" i="4"/>
  <c r="S27" i="4"/>
  <c r="S26" i="4"/>
  <c r="S24" i="4"/>
  <c r="S23" i="4"/>
  <c r="S22" i="4"/>
  <c r="S18" i="4"/>
  <c r="S17" i="4"/>
  <c r="S16" i="4"/>
  <c r="S15" i="4"/>
  <c r="S14" i="4"/>
  <c r="S13" i="4"/>
  <c r="S12" i="4"/>
  <c r="S10" i="4"/>
  <c r="S9" i="4"/>
  <c r="S8" i="4"/>
  <c r="S6" i="4"/>
  <c r="S5" i="4"/>
  <c r="P10" i="3"/>
  <c r="P9" i="3"/>
  <c r="P8" i="3"/>
  <c r="P7" i="3"/>
  <c r="P6" i="3"/>
  <c r="P4" i="3"/>
  <c r="Q56" i="3"/>
  <c r="Q55" i="3"/>
  <c r="Q54" i="3"/>
  <c r="Q53" i="3"/>
  <c r="Q50" i="3"/>
  <c r="Q46" i="3"/>
  <c r="Q45" i="3"/>
  <c r="Q44" i="3"/>
  <c r="Q43" i="3"/>
  <c r="Q41" i="3"/>
  <c r="Q40" i="3"/>
  <c r="Q39" i="3"/>
  <c r="Q38" i="3"/>
  <c r="Q37" i="3"/>
  <c r="Q35" i="3"/>
  <c r="Q34" i="3"/>
  <c r="Q33" i="3"/>
  <c r="Q32" i="3"/>
  <c r="Q31" i="3"/>
  <c r="Q30" i="3"/>
  <c r="Q26" i="3"/>
  <c r="Q22" i="3"/>
  <c r="Q21" i="3"/>
  <c r="Q20" i="3"/>
  <c r="Q19" i="3"/>
  <c r="Q10" i="3"/>
  <c r="Q9" i="3"/>
  <c r="Q8" i="3"/>
  <c r="Q7" i="3"/>
  <c r="Q6" i="3"/>
  <c r="Q4" i="3"/>
  <c r="Q89" i="2"/>
  <c r="Q88" i="2"/>
  <c r="Q83" i="2"/>
  <c r="Q82" i="2"/>
  <c r="Q81" i="2"/>
  <c r="Q80" i="2"/>
  <c r="Q79" i="2"/>
  <c r="Q74" i="2"/>
  <c r="Q73" i="2"/>
  <c r="Q69" i="2"/>
  <c r="Q68" i="2"/>
  <c r="Q67" i="2"/>
  <c r="Q65" i="2"/>
  <c r="Q64" i="2"/>
  <c r="Q63" i="2"/>
  <c r="Q62" i="2"/>
  <c r="Q61" i="2"/>
  <c r="Q59" i="2"/>
  <c r="Q58" i="2"/>
  <c r="Q57" i="2"/>
  <c r="Q53" i="2"/>
  <c r="Q48" i="2"/>
  <c r="Q47" i="2"/>
  <c r="Q46" i="2"/>
  <c r="Q45" i="2"/>
  <c r="Q44" i="2"/>
  <c r="Q42" i="2"/>
  <c r="Q41" i="2"/>
  <c r="Q40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1" i="2"/>
  <c r="Q20" i="2"/>
  <c r="Q19" i="2"/>
  <c r="Q18" i="2"/>
  <c r="Q13" i="2"/>
  <c r="Q12" i="2"/>
  <c r="Q11" i="2"/>
  <c r="Q10" i="2"/>
  <c r="Q9" i="2"/>
  <c r="Q8" i="2"/>
  <c r="Q7" i="2"/>
  <c r="Q3" i="2"/>
  <c r="P76" i="4"/>
  <c r="P72" i="4"/>
  <c r="P71" i="4"/>
  <c r="P70" i="4"/>
  <c r="P66" i="4"/>
  <c r="P65" i="4"/>
  <c r="P64" i="4"/>
  <c r="P63" i="4"/>
  <c r="P62" i="4"/>
  <c r="P58" i="4"/>
  <c r="P57" i="4"/>
  <c r="P53" i="4"/>
  <c r="P52" i="4"/>
  <c r="P48" i="4"/>
  <c r="P47" i="4"/>
  <c r="P46" i="4"/>
  <c r="P45" i="4"/>
  <c r="P38" i="4"/>
  <c r="P37" i="4"/>
  <c r="P36" i="4"/>
  <c r="P35" i="4"/>
  <c r="P34" i="4"/>
  <c r="P33" i="4"/>
  <c r="P32" i="4"/>
  <c r="P31" i="4"/>
  <c r="P29" i="4"/>
  <c r="P28" i="4"/>
  <c r="P27" i="4"/>
  <c r="P26" i="4"/>
  <c r="P24" i="4"/>
  <c r="P23" i="4"/>
  <c r="P22" i="4"/>
  <c r="P18" i="4"/>
  <c r="P17" i="4"/>
  <c r="P16" i="4"/>
  <c r="P15" i="4"/>
  <c r="P14" i="4"/>
  <c r="P13" i="4"/>
  <c r="P12" i="4"/>
  <c r="P10" i="4"/>
  <c r="P9" i="4"/>
  <c r="P8" i="4"/>
  <c r="P6" i="4"/>
  <c r="P5" i="4"/>
  <c r="G30" i="4" l="1"/>
  <c r="H46" i="9" l="1"/>
  <c r="H45" i="9" l="1"/>
  <c r="K51" i="11" l="1"/>
  <c r="K52" i="11"/>
  <c r="K53" i="11"/>
  <c r="K54" i="11"/>
  <c r="K55" i="11"/>
  <c r="K56" i="11"/>
  <c r="K30" i="11"/>
  <c r="K31" i="11"/>
  <c r="K33" i="11"/>
  <c r="K35" i="11"/>
  <c r="K36" i="11"/>
  <c r="K37" i="11"/>
  <c r="K38" i="11"/>
  <c r="K39" i="11"/>
  <c r="K40" i="11"/>
  <c r="K41" i="11"/>
  <c r="K45" i="11"/>
  <c r="K20" i="11"/>
  <c r="K21" i="11"/>
  <c r="K22" i="11"/>
  <c r="K19" i="11"/>
  <c r="K9" i="11"/>
  <c r="H53" i="11"/>
  <c r="H54" i="11"/>
  <c r="H55" i="11"/>
  <c r="H56" i="11"/>
  <c r="H30" i="11"/>
  <c r="H31" i="11"/>
  <c r="H37" i="11"/>
  <c r="H38" i="11"/>
  <c r="H39" i="11"/>
  <c r="H40" i="11"/>
  <c r="H41" i="11"/>
  <c r="H45" i="11"/>
  <c r="H26" i="11"/>
  <c r="H20" i="11"/>
  <c r="H22" i="11"/>
  <c r="H23" i="11"/>
  <c r="H19" i="11"/>
  <c r="H6" i="11"/>
  <c r="H8" i="11"/>
  <c r="H9" i="11"/>
  <c r="H10" i="11"/>
  <c r="K88" i="10"/>
  <c r="K79" i="10"/>
  <c r="K80" i="10"/>
  <c r="K83" i="10"/>
  <c r="K78" i="10"/>
  <c r="K74" i="10"/>
  <c r="K73" i="10"/>
  <c r="K57" i="10"/>
  <c r="K59" i="10"/>
  <c r="K61" i="10"/>
  <c r="K62" i="10"/>
  <c r="K63" i="10"/>
  <c r="K67" i="10"/>
  <c r="K68" i="10"/>
  <c r="K40" i="10"/>
  <c r="K41" i="10"/>
  <c r="K43" i="10"/>
  <c r="K44" i="10"/>
  <c r="K45" i="10"/>
  <c r="K46" i="10"/>
  <c r="K47" i="10"/>
  <c r="K48" i="10"/>
  <c r="K18" i="10"/>
  <c r="K19" i="10"/>
  <c r="K20" i="10"/>
  <c r="K21" i="10"/>
  <c r="K23" i="10"/>
  <c r="K24" i="10"/>
  <c r="K25" i="10"/>
  <c r="K26" i="10"/>
  <c r="K27" i="10"/>
  <c r="K28" i="10"/>
  <c r="K29" i="10"/>
  <c r="K30" i="10"/>
  <c r="K31" i="10"/>
  <c r="K33" i="10"/>
  <c r="K34" i="10"/>
  <c r="K35" i="10"/>
  <c r="K17" i="10"/>
  <c r="K8" i="10"/>
  <c r="K9" i="10"/>
  <c r="K12" i="10"/>
  <c r="K13" i="10"/>
  <c r="K3" i="10"/>
  <c r="H88" i="10"/>
  <c r="H79" i="10"/>
  <c r="H80" i="10"/>
  <c r="H83" i="10"/>
  <c r="H73" i="10"/>
  <c r="H57" i="10"/>
  <c r="H59" i="10"/>
  <c r="H61" i="10"/>
  <c r="H62" i="10"/>
  <c r="H63" i="10"/>
  <c r="H64" i="10"/>
  <c r="H67" i="10"/>
  <c r="H68" i="10"/>
  <c r="H53" i="10"/>
  <c r="H41" i="10"/>
  <c r="H42" i="10"/>
  <c r="H44" i="10"/>
  <c r="H45" i="10"/>
  <c r="H46" i="10"/>
  <c r="H47" i="10"/>
  <c r="H48" i="10"/>
  <c r="H18" i="10"/>
  <c r="H19" i="10"/>
  <c r="H20" i="10"/>
  <c r="H21" i="10"/>
  <c r="H24" i="10"/>
  <c r="H25" i="10"/>
  <c r="H26" i="10"/>
  <c r="H28" i="10"/>
  <c r="H29" i="10"/>
  <c r="H30" i="10"/>
  <c r="H31" i="10"/>
  <c r="H32" i="10"/>
  <c r="H33" i="10"/>
  <c r="H35" i="10"/>
  <c r="H8" i="10"/>
  <c r="H9" i="10"/>
  <c r="H10" i="10"/>
  <c r="H11" i="10"/>
  <c r="H12" i="10"/>
  <c r="H7" i="10"/>
  <c r="H3" i="10"/>
  <c r="J76" i="9"/>
  <c r="J69" i="9"/>
  <c r="J66" i="9"/>
  <c r="J52" i="9"/>
  <c r="J44" i="9"/>
  <c r="J33" i="9"/>
  <c r="J37" i="9"/>
  <c r="J9" i="9"/>
  <c r="J16" i="9"/>
  <c r="G69" i="9"/>
  <c r="G44" i="9"/>
  <c r="AF57" i="3"/>
  <c r="AG57" i="3"/>
  <c r="AF47" i="3"/>
  <c r="AG47" i="3"/>
  <c r="AF27" i="3"/>
  <c r="AG27" i="3"/>
  <c r="AF24" i="3"/>
  <c r="AG24" i="3"/>
  <c r="AF5" i="3"/>
  <c r="AG5" i="3"/>
  <c r="AF92" i="2"/>
  <c r="AF90" i="2"/>
  <c r="AG90" i="2"/>
  <c r="AF85" i="2"/>
  <c r="AF84" i="2"/>
  <c r="AG84" i="2"/>
  <c r="AF75" i="2"/>
  <c r="AG75" i="2"/>
  <c r="AF70" i="2"/>
  <c r="AG70" i="2"/>
  <c r="AG85" i="2" s="1"/>
  <c r="AG92" i="2" s="1"/>
  <c r="AF54" i="2"/>
  <c r="AG54" i="2"/>
  <c r="AF50" i="2"/>
  <c r="AG50" i="2"/>
  <c r="AF49" i="2"/>
  <c r="AG49" i="2"/>
  <c r="AF36" i="2"/>
  <c r="AG36" i="2"/>
  <c r="AF14" i="2"/>
  <c r="AG14" i="2"/>
  <c r="AF4" i="2"/>
  <c r="AG4" i="2"/>
  <c r="AE73" i="4"/>
  <c r="AF73" i="4"/>
  <c r="AE67" i="4"/>
  <c r="AE74" i="4" s="1"/>
  <c r="AF67" i="4"/>
  <c r="AF74" i="4" s="1"/>
  <c r="AE59" i="4"/>
  <c r="AF59" i="4"/>
  <c r="AE54" i="4"/>
  <c r="AF54" i="4"/>
  <c r="AE49" i="4"/>
  <c r="AE55" i="4" s="1"/>
  <c r="AF49" i="4"/>
  <c r="AE30" i="4"/>
  <c r="AF30" i="4"/>
  <c r="AE25" i="4"/>
  <c r="AE39" i="4" s="1"/>
  <c r="AF25" i="4"/>
  <c r="AF39" i="4" s="1"/>
  <c r="AE19" i="4"/>
  <c r="AF11" i="4"/>
  <c r="AE11" i="4"/>
  <c r="AE7" i="4"/>
  <c r="AF7" i="4"/>
  <c r="AB10" i="3"/>
  <c r="AB9" i="3"/>
  <c r="AB8" i="3"/>
  <c r="K8" i="11" s="1"/>
  <c r="AB7" i="3"/>
  <c r="K7" i="11" s="1"/>
  <c r="AB6" i="3"/>
  <c r="AB4" i="3"/>
  <c r="K4" i="11" s="1"/>
  <c r="AC56" i="3"/>
  <c r="AC55" i="3"/>
  <c r="AC54" i="3"/>
  <c r="AC53" i="3"/>
  <c r="AC50" i="3"/>
  <c r="K50" i="11" s="1"/>
  <c r="AC46" i="3"/>
  <c r="K46" i="11" s="1"/>
  <c r="AC45" i="3"/>
  <c r="AC44" i="3"/>
  <c r="K44" i="11" s="1"/>
  <c r="AC43" i="3"/>
  <c r="K43" i="11" s="1"/>
  <c r="AC41" i="3"/>
  <c r="AC40" i="3"/>
  <c r="AC39" i="3"/>
  <c r="AC38" i="3"/>
  <c r="AC37" i="3"/>
  <c r="AC35" i="3"/>
  <c r="AC34" i="3"/>
  <c r="K34" i="11" s="1"/>
  <c r="AC33" i="3"/>
  <c r="AC32" i="3"/>
  <c r="K32" i="11" s="1"/>
  <c r="AC31" i="3"/>
  <c r="AC30" i="3"/>
  <c r="AC26" i="3"/>
  <c r="K26" i="11" s="1"/>
  <c r="AC23" i="3"/>
  <c r="AC22" i="3"/>
  <c r="AC21" i="3"/>
  <c r="AC20" i="3"/>
  <c r="AC19" i="3"/>
  <c r="AC10" i="3"/>
  <c r="AC9" i="3"/>
  <c r="AC8" i="3"/>
  <c r="AC7" i="3"/>
  <c r="AC6" i="3"/>
  <c r="AC4" i="3"/>
  <c r="AC89" i="2"/>
  <c r="K89" i="10" s="1"/>
  <c r="AC88" i="2"/>
  <c r="AC83" i="2"/>
  <c r="AC82" i="2"/>
  <c r="K82" i="10" s="1"/>
  <c r="AC81" i="2"/>
  <c r="K81" i="10" s="1"/>
  <c r="AC80" i="2"/>
  <c r="AC79" i="2"/>
  <c r="AC74" i="2"/>
  <c r="AC73" i="2"/>
  <c r="AC69" i="2"/>
  <c r="K69" i="10" s="1"/>
  <c r="AC68" i="2"/>
  <c r="AC67" i="2"/>
  <c r="AC65" i="2"/>
  <c r="K65" i="10" s="1"/>
  <c r="AC64" i="2"/>
  <c r="K64" i="10" s="1"/>
  <c r="AC63" i="2"/>
  <c r="AC62" i="2"/>
  <c r="AC61" i="2"/>
  <c r="AC59" i="2"/>
  <c r="AC58" i="2"/>
  <c r="K58" i="10" s="1"/>
  <c r="AC57" i="2"/>
  <c r="AC53" i="2"/>
  <c r="K53" i="10" s="1"/>
  <c r="AC48" i="2"/>
  <c r="AC47" i="2"/>
  <c r="AC46" i="2"/>
  <c r="AC45" i="2"/>
  <c r="AC44" i="2"/>
  <c r="AC42" i="2"/>
  <c r="K42" i="10" s="1"/>
  <c r="AC41" i="2"/>
  <c r="AC40" i="2"/>
  <c r="AC35" i="2"/>
  <c r="AC34" i="2"/>
  <c r="AC33" i="2"/>
  <c r="AC32" i="2"/>
  <c r="K32" i="10" s="1"/>
  <c r="AC31" i="2"/>
  <c r="AC30" i="2"/>
  <c r="AC29" i="2"/>
  <c r="AC28" i="2"/>
  <c r="AC27" i="2"/>
  <c r="AC26" i="2"/>
  <c r="AC25" i="2"/>
  <c r="AC24" i="2"/>
  <c r="AC23" i="2"/>
  <c r="AC21" i="2"/>
  <c r="AC20" i="2"/>
  <c r="AC19" i="2"/>
  <c r="AC18" i="2"/>
  <c r="AC13" i="2"/>
  <c r="AC12" i="2"/>
  <c r="AC11" i="2"/>
  <c r="K11" i="10" s="1"/>
  <c r="AC10" i="2"/>
  <c r="K10" i="10" s="1"/>
  <c r="AC9" i="2"/>
  <c r="AC8" i="2"/>
  <c r="AC7" i="2"/>
  <c r="K7" i="10" s="1"/>
  <c r="AC3" i="2"/>
  <c r="AB76" i="4"/>
  <c r="AB72" i="4"/>
  <c r="J72" i="9" s="1"/>
  <c r="AB71" i="4"/>
  <c r="J71" i="9" s="1"/>
  <c r="AB70" i="4"/>
  <c r="J70" i="9" s="1"/>
  <c r="AB66" i="4"/>
  <c r="AB65" i="4"/>
  <c r="J65" i="9" s="1"/>
  <c r="AB64" i="4"/>
  <c r="J64" i="9" s="1"/>
  <c r="AB63" i="4"/>
  <c r="J63" i="9" s="1"/>
  <c r="AB62" i="4"/>
  <c r="J62" i="9" s="1"/>
  <c r="AB58" i="4"/>
  <c r="J58" i="9" s="1"/>
  <c r="AB57" i="4"/>
  <c r="J57" i="9" s="1"/>
  <c r="AB53" i="4"/>
  <c r="J53" i="9" s="1"/>
  <c r="AB52" i="4"/>
  <c r="AB48" i="4"/>
  <c r="J48" i="9" s="1"/>
  <c r="AB47" i="4"/>
  <c r="J47" i="9" s="1"/>
  <c r="AB46" i="4"/>
  <c r="J46" i="9" s="1"/>
  <c r="AB45" i="4"/>
  <c r="J45" i="9" s="1"/>
  <c r="AB38" i="4"/>
  <c r="J38" i="9" s="1"/>
  <c r="AB37" i="4"/>
  <c r="AB36" i="4"/>
  <c r="J36" i="9" s="1"/>
  <c r="AB35" i="4"/>
  <c r="J35" i="9" s="1"/>
  <c r="AB34" i="4"/>
  <c r="J34" i="9" s="1"/>
  <c r="AB33" i="4"/>
  <c r="AB32" i="4"/>
  <c r="J32" i="9" s="1"/>
  <c r="AB31" i="4"/>
  <c r="J31" i="9" s="1"/>
  <c r="AB29" i="4"/>
  <c r="J29" i="9" s="1"/>
  <c r="AB28" i="4"/>
  <c r="J28" i="9" s="1"/>
  <c r="AB27" i="4"/>
  <c r="J27" i="9" s="1"/>
  <c r="AB26" i="4"/>
  <c r="J26" i="9" s="1"/>
  <c r="AB24" i="4"/>
  <c r="J24" i="9" s="1"/>
  <c r="AB23" i="4"/>
  <c r="J23" i="9" s="1"/>
  <c r="AB22" i="4"/>
  <c r="J22" i="9" s="1"/>
  <c r="AB18" i="4"/>
  <c r="J18" i="9" s="1"/>
  <c r="AB17" i="4"/>
  <c r="J17" i="9" s="1"/>
  <c r="AB16" i="4"/>
  <c r="AB15" i="4"/>
  <c r="J15" i="9" s="1"/>
  <c r="AB14" i="4"/>
  <c r="J14" i="9" s="1"/>
  <c r="AB13" i="4"/>
  <c r="J13" i="9" s="1"/>
  <c r="AB12" i="4"/>
  <c r="J12" i="9" s="1"/>
  <c r="AB10" i="4"/>
  <c r="J10" i="9" s="1"/>
  <c r="AB9" i="4"/>
  <c r="AB8" i="4"/>
  <c r="J8" i="9" s="1"/>
  <c r="AB6" i="4"/>
  <c r="J6" i="9" s="1"/>
  <c r="AB5" i="4"/>
  <c r="J5" i="9" s="1"/>
  <c r="H48" i="9"/>
  <c r="H47" i="9"/>
  <c r="U66" i="2"/>
  <c r="E66" i="2"/>
  <c r="F43" i="2"/>
  <c r="K10" i="11" l="1"/>
  <c r="K6" i="11"/>
  <c r="AE40" i="4"/>
  <c r="AF19" i="4"/>
  <c r="AF40" i="4" s="1"/>
  <c r="AF55" i="4"/>
  <c r="AE75" i="4"/>
  <c r="AE77" i="4" s="1"/>
  <c r="AF11" i="3" s="1"/>
  <c r="AF12" i="3" s="1"/>
  <c r="AF16" i="3" s="1"/>
  <c r="AF58" i="3" s="1"/>
  <c r="AF59" i="3" s="1"/>
  <c r="H50" i="11"/>
  <c r="H46" i="11"/>
  <c r="H44" i="11"/>
  <c r="H43" i="11"/>
  <c r="H35" i="11"/>
  <c r="H34" i="11"/>
  <c r="H33" i="11"/>
  <c r="H32" i="11"/>
  <c r="H21" i="11"/>
  <c r="H7" i="11"/>
  <c r="H89" i="10"/>
  <c r="H82" i="10"/>
  <c r="H81" i="10"/>
  <c r="H74" i="10"/>
  <c r="H69" i="10"/>
  <c r="H65" i="10"/>
  <c r="H58" i="10"/>
  <c r="H40" i="10"/>
  <c r="H34" i="10"/>
  <c r="H27" i="10"/>
  <c r="H23" i="10"/>
  <c r="H13" i="10"/>
  <c r="G76" i="9"/>
  <c r="G72" i="9"/>
  <c r="G71" i="9"/>
  <c r="G70" i="9"/>
  <c r="G66" i="9"/>
  <c r="G65" i="9"/>
  <c r="G64" i="9"/>
  <c r="G63" i="9"/>
  <c r="G62" i="9"/>
  <c r="G58" i="9"/>
  <c r="G57" i="9"/>
  <c r="G53" i="9"/>
  <c r="G52" i="9"/>
  <c r="G48" i="9"/>
  <c r="G47" i="9"/>
  <c r="G46" i="9"/>
  <c r="G45" i="9"/>
  <c r="G38" i="9"/>
  <c r="G37" i="9"/>
  <c r="G36" i="9"/>
  <c r="G35" i="9"/>
  <c r="G34" i="9"/>
  <c r="G33" i="9"/>
  <c r="G32" i="9"/>
  <c r="G31" i="9"/>
  <c r="G29" i="9"/>
  <c r="G28" i="9"/>
  <c r="G27" i="9"/>
  <c r="G26" i="9"/>
  <c r="G24" i="9"/>
  <c r="G23" i="9"/>
  <c r="G22" i="9"/>
  <c r="G18" i="9"/>
  <c r="G17" i="9"/>
  <c r="G16" i="9"/>
  <c r="G15" i="9"/>
  <c r="G14" i="9"/>
  <c r="G13" i="9"/>
  <c r="G12" i="9"/>
  <c r="G10" i="9"/>
  <c r="G9" i="9"/>
  <c r="G8" i="9"/>
  <c r="G6" i="9"/>
  <c r="G5" i="9"/>
  <c r="M10" i="3"/>
  <c r="M9" i="3"/>
  <c r="M8" i="3"/>
  <c r="M7" i="3"/>
  <c r="M6" i="3"/>
  <c r="M4" i="3"/>
  <c r="N56" i="3"/>
  <c r="N55" i="3"/>
  <c r="N54" i="3"/>
  <c r="N53" i="3"/>
  <c r="N50" i="3"/>
  <c r="N46" i="3"/>
  <c r="N45" i="3"/>
  <c r="N44" i="3"/>
  <c r="N43" i="3"/>
  <c r="N41" i="3"/>
  <c r="N40" i="3"/>
  <c r="N39" i="3"/>
  <c r="N38" i="3"/>
  <c r="N37" i="3"/>
  <c r="N35" i="3"/>
  <c r="N34" i="3"/>
  <c r="N33" i="3"/>
  <c r="N32" i="3"/>
  <c r="N31" i="3"/>
  <c r="N30" i="3"/>
  <c r="N26" i="3"/>
  <c r="N22" i="3"/>
  <c r="N21" i="3"/>
  <c r="N20" i="3"/>
  <c r="N19" i="3"/>
  <c r="N10" i="3"/>
  <c r="N9" i="3"/>
  <c r="N8" i="3"/>
  <c r="N7" i="3"/>
  <c r="N6" i="3"/>
  <c r="N4" i="3"/>
  <c r="N89" i="2"/>
  <c r="N88" i="2"/>
  <c r="N83" i="2"/>
  <c r="N82" i="2"/>
  <c r="N81" i="2"/>
  <c r="N80" i="2"/>
  <c r="N79" i="2"/>
  <c r="N74" i="2"/>
  <c r="N73" i="2"/>
  <c r="N69" i="2"/>
  <c r="N68" i="2"/>
  <c r="N67" i="2"/>
  <c r="N65" i="2"/>
  <c r="N64" i="2"/>
  <c r="N63" i="2"/>
  <c r="N62" i="2"/>
  <c r="N61" i="2"/>
  <c r="N59" i="2"/>
  <c r="N58" i="2"/>
  <c r="N57" i="2"/>
  <c r="N53" i="2"/>
  <c r="N48" i="2"/>
  <c r="N47" i="2"/>
  <c r="N46" i="2"/>
  <c r="N45" i="2"/>
  <c r="N44" i="2"/>
  <c r="N42" i="2"/>
  <c r="N41" i="2"/>
  <c r="N40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1" i="2"/>
  <c r="N20" i="2"/>
  <c r="N19" i="2"/>
  <c r="N18" i="2"/>
  <c r="N13" i="2"/>
  <c r="N12" i="2"/>
  <c r="N11" i="2"/>
  <c r="N10" i="2"/>
  <c r="N9" i="2"/>
  <c r="N8" i="2"/>
  <c r="N7" i="2"/>
  <c r="N3" i="2"/>
  <c r="M76" i="4"/>
  <c r="M72" i="4"/>
  <c r="M71" i="4"/>
  <c r="M70" i="4"/>
  <c r="M66" i="4"/>
  <c r="M65" i="4"/>
  <c r="M64" i="4"/>
  <c r="M63" i="4"/>
  <c r="M62" i="4"/>
  <c r="M58" i="4"/>
  <c r="M57" i="4"/>
  <c r="M53" i="4"/>
  <c r="M52" i="4"/>
  <c r="M48" i="4"/>
  <c r="M47" i="4"/>
  <c r="M46" i="4"/>
  <c r="M45" i="4"/>
  <c r="M38" i="4"/>
  <c r="M37" i="4"/>
  <c r="M36" i="4"/>
  <c r="M35" i="4"/>
  <c r="M34" i="4"/>
  <c r="M33" i="4"/>
  <c r="M32" i="4"/>
  <c r="M31" i="4"/>
  <c r="M29" i="4"/>
  <c r="M28" i="4"/>
  <c r="M27" i="4"/>
  <c r="M26" i="4"/>
  <c r="M24" i="4"/>
  <c r="M23" i="4"/>
  <c r="M22" i="4"/>
  <c r="M18" i="4"/>
  <c r="M17" i="4"/>
  <c r="M16" i="4"/>
  <c r="M15" i="4"/>
  <c r="M14" i="4"/>
  <c r="M13" i="4"/>
  <c r="M12" i="4"/>
  <c r="M10" i="4"/>
  <c r="M9" i="4"/>
  <c r="M8" i="4"/>
  <c r="M6" i="4"/>
  <c r="M5" i="4"/>
  <c r="O36" i="3"/>
  <c r="D30" i="4"/>
  <c r="G23" i="11"/>
  <c r="F23" i="11"/>
  <c r="I69" i="9"/>
  <c r="I44" i="9"/>
  <c r="H69" i="9"/>
  <c r="H44" i="9"/>
  <c r="E69" i="9"/>
  <c r="E44" i="9"/>
  <c r="AF75" i="4" l="1"/>
  <c r="AF77" i="4" s="1"/>
  <c r="AG11" i="3" s="1"/>
  <c r="AG12" i="3" s="1"/>
  <c r="AG16" i="3" s="1"/>
  <c r="AG58" i="3" s="1"/>
  <c r="AG59" i="3" s="1"/>
  <c r="H4" i="11"/>
  <c r="F69" i="9"/>
  <c r="F44" i="9"/>
  <c r="AA42" i="3" l="1"/>
  <c r="R24" i="3" l="1"/>
  <c r="AD57" i="3"/>
  <c r="AE57" i="3"/>
  <c r="AD47" i="3"/>
  <c r="AE47" i="3"/>
  <c r="AD27" i="3"/>
  <c r="AE27" i="3"/>
  <c r="AD24" i="3"/>
  <c r="AE24" i="3"/>
  <c r="AD5" i="3"/>
  <c r="AE5" i="3"/>
  <c r="AD90" i="2"/>
  <c r="AE90" i="2"/>
  <c r="AD84" i="2"/>
  <c r="AE84" i="2"/>
  <c r="AD75" i="2"/>
  <c r="AE75" i="2"/>
  <c r="AD70" i="2"/>
  <c r="AD85" i="2" s="1"/>
  <c r="AE70" i="2"/>
  <c r="AD54" i="2"/>
  <c r="AE54" i="2"/>
  <c r="AD49" i="2"/>
  <c r="AE49" i="2"/>
  <c r="AD36" i="2"/>
  <c r="AE36" i="2"/>
  <c r="AD14" i="2"/>
  <c r="AE14" i="2"/>
  <c r="AD4" i="2"/>
  <c r="AE4" i="2"/>
  <c r="AC73" i="4"/>
  <c r="AD73" i="4"/>
  <c r="AC67" i="4"/>
  <c r="AC74" i="4" s="1"/>
  <c r="AD67" i="4"/>
  <c r="AC59" i="4"/>
  <c r="AD59" i="4"/>
  <c r="AC54" i="4"/>
  <c r="AD54" i="4"/>
  <c r="AC49" i="4"/>
  <c r="AD49" i="4"/>
  <c r="AD55" i="4" s="1"/>
  <c r="AC30" i="4"/>
  <c r="AD30" i="4"/>
  <c r="AC25" i="4"/>
  <c r="AD25" i="4"/>
  <c r="AD39" i="4" s="1"/>
  <c r="AC11" i="4"/>
  <c r="AD11" i="4"/>
  <c r="AC7" i="4"/>
  <c r="AD7" i="4"/>
  <c r="AD19" i="4" s="1"/>
  <c r="AC19" i="4" l="1"/>
  <c r="AC39" i="4"/>
  <c r="AC55" i="4"/>
  <c r="AD74" i="4"/>
  <c r="AE50" i="2"/>
  <c r="AC40" i="4"/>
  <c r="AD40" i="4"/>
  <c r="AD50" i="2"/>
  <c r="AD92" i="2" s="1"/>
  <c r="AE85" i="2"/>
  <c r="I56" i="11"/>
  <c r="G50" i="11"/>
  <c r="AD75" i="4" l="1"/>
  <c r="AD77" i="4" s="1"/>
  <c r="AE11" i="3" s="1"/>
  <c r="AE12" i="3" s="1"/>
  <c r="AE16" i="3" s="1"/>
  <c r="AE58" i="3" s="1"/>
  <c r="AC75" i="4"/>
  <c r="AC77" i="4" s="1"/>
  <c r="AD11" i="3" s="1"/>
  <c r="AD12" i="3" s="1"/>
  <c r="AD16" i="3" s="1"/>
  <c r="AD58" i="3" s="1"/>
  <c r="AD59" i="3" s="1"/>
  <c r="AE92" i="2"/>
  <c r="F66" i="2"/>
  <c r="AE59" i="3" l="1"/>
  <c r="J56" i="11"/>
  <c r="J55" i="11"/>
  <c r="J54" i="11"/>
  <c r="J53" i="11"/>
  <c r="J50" i="11"/>
  <c r="J46" i="11"/>
  <c r="J45" i="11"/>
  <c r="J44" i="11"/>
  <c r="J43" i="11"/>
  <c r="J41" i="11"/>
  <c r="J40" i="11"/>
  <c r="J39" i="11"/>
  <c r="J38" i="11"/>
  <c r="J37" i="11"/>
  <c r="J35" i="11"/>
  <c r="J34" i="11"/>
  <c r="J33" i="11"/>
  <c r="J32" i="11"/>
  <c r="J31" i="11"/>
  <c r="J30" i="11"/>
  <c r="J26" i="11"/>
  <c r="J22" i="11"/>
  <c r="J21" i="11"/>
  <c r="J20" i="11"/>
  <c r="J19" i="11"/>
  <c r="J89" i="10"/>
  <c r="J88" i="10"/>
  <c r="J83" i="10"/>
  <c r="J82" i="10"/>
  <c r="J81" i="10"/>
  <c r="J80" i="10"/>
  <c r="J79" i="10"/>
  <c r="J74" i="10"/>
  <c r="J73" i="10"/>
  <c r="J69" i="10"/>
  <c r="J68" i="10"/>
  <c r="J67" i="10"/>
  <c r="J65" i="10"/>
  <c r="J64" i="10"/>
  <c r="J63" i="10"/>
  <c r="J62" i="10"/>
  <c r="J61" i="10"/>
  <c r="J59" i="10"/>
  <c r="J58" i="10"/>
  <c r="J57" i="10"/>
  <c r="J53" i="10"/>
  <c r="J48" i="10"/>
  <c r="J47" i="10"/>
  <c r="J46" i="10"/>
  <c r="J45" i="10"/>
  <c r="J44" i="10"/>
  <c r="J42" i="10"/>
  <c r="J41" i="10"/>
  <c r="J40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1" i="10"/>
  <c r="J20" i="10"/>
  <c r="J19" i="10"/>
  <c r="J18" i="10"/>
  <c r="J13" i="10"/>
  <c r="J12" i="10"/>
  <c r="J11" i="10"/>
  <c r="J10" i="10"/>
  <c r="J9" i="10"/>
  <c r="J8" i="10"/>
  <c r="J7" i="10"/>
  <c r="J3" i="10"/>
  <c r="I72" i="9"/>
  <c r="I71" i="9"/>
  <c r="I70" i="9"/>
  <c r="I66" i="9"/>
  <c r="I65" i="9"/>
  <c r="I64" i="9"/>
  <c r="I63" i="9"/>
  <c r="I62" i="9"/>
  <c r="I58" i="9"/>
  <c r="I57" i="9"/>
  <c r="I53" i="9"/>
  <c r="I52" i="9"/>
  <c r="I48" i="9"/>
  <c r="I47" i="9"/>
  <c r="I46" i="9"/>
  <c r="I45" i="9"/>
  <c r="I38" i="9"/>
  <c r="I37" i="9"/>
  <c r="I36" i="9"/>
  <c r="I35" i="9"/>
  <c r="I34" i="9"/>
  <c r="I33" i="9"/>
  <c r="I32" i="9"/>
  <c r="I31" i="9"/>
  <c r="I29" i="9"/>
  <c r="I28" i="9"/>
  <c r="I27" i="9"/>
  <c r="I26" i="9"/>
  <c r="I24" i="9"/>
  <c r="I23" i="9"/>
  <c r="I22" i="9"/>
  <c r="I18" i="9"/>
  <c r="I17" i="9"/>
  <c r="I16" i="9"/>
  <c r="I15" i="9"/>
  <c r="I14" i="9"/>
  <c r="I13" i="9"/>
  <c r="I12" i="9"/>
  <c r="I10" i="9"/>
  <c r="I9" i="9"/>
  <c r="I8" i="9"/>
  <c r="I6" i="9"/>
  <c r="I5" i="9"/>
  <c r="I10" i="11"/>
  <c r="I6" i="11"/>
  <c r="I55" i="11"/>
  <c r="I54" i="11"/>
  <c r="I53" i="11"/>
  <c r="I50" i="11"/>
  <c r="I46" i="11"/>
  <c r="I45" i="11"/>
  <c r="I44" i="11"/>
  <c r="I43" i="11"/>
  <c r="I41" i="11"/>
  <c r="I40" i="11"/>
  <c r="I39" i="11"/>
  <c r="I38" i="11"/>
  <c r="I37" i="11"/>
  <c r="I35" i="11"/>
  <c r="I34" i="11"/>
  <c r="I33" i="11"/>
  <c r="I32" i="11"/>
  <c r="I31" i="11"/>
  <c r="I30" i="11"/>
  <c r="I26" i="11"/>
  <c r="I22" i="11"/>
  <c r="I21" i="11"/>
  <c r="I20" i="11"/>
  <c r="I19" i="11"/>
  <c r="I89" i="10"/>
  <c r="I88" i="10"/>
  <c r="I83" i="10"/>
  <c r="I82" i="10"/>
  <c r="I81" i="10"/>
  <c r="I80" i="10"/>
  <c r="I79" i="10"/>
  <c r="I74" i="10"/>
  <c r="I73" i="10"/>
  <c r="I69" i="10"/>
  <c r="I68" i="10"/>
  <c r="I67" i="10"/>
  <c r="I65" i="10"/>
  <c r="I64" i="10"/>
  <c r="I63" i="10"/>
  <c r="I62" i="10"/>
  <c r="I61" i="10"/>
  <c r="I59" i="10"/>
  <c r="I58" i="10"/>
  <c r="I57" i="10"/>
  <c r="I53" i="10"/>
  <c r="I48" i="10"/>
  <c r="I47" i="10"/>
  <c r="I46" i="10"/>
  <c r="I45" i="10"/>
  <c r="I44" i="10"/>
  <c r="I42" i="10"/>
  <c r="I41" i="10"/>
  <c r="I40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1" i="10"/>
  <c r="I20" i="10"/>
  <c r="I19" i="10"/>
  <c r="I18" i="10"/>
  <c r="I13" i="10"/>
  <c r="I12" i="10"/>
  <c r="I11" i="10"/>
  <c r="I10" i="10"/>
  <c r="I9" i="10"/>
  <c r="I8" i="10"/>
  <c r="I7" i="10"/>
  <c r="I3" i="10"/>
  <c r="H76" i="9"/>
  <c r="H72" i="9"/>
  <c r="H71" i="9"/>
  <c r="H70" i="9"/>
  <c r="H66" i="9"/>
  <c r="H65" i="9"/>
  <c r="H64" i="9"/>
  <c r="H63" i="9"/>
  <c r="H62" i="9"/>
  <c r="H58" i="9"/>
  <c r="H57" i="9"/>
  <c r="H53" i="9"/>
  <c r="H52" i="9"/>
  <c r="H38" i="9"/>
  <c r="H37" i="9"/>
  <c r="H36" i="9"/>
  <c r="H35" i="9"/>
  <c r="H34" i="9"/>
  <c r="H33" i="9"/>
  <c r="H32" i="9"/>
  <c r="H31" i="9"/>
  <c r="H29" i="9"/>
  <c r="H28" i="9"/>
  <c r="H27" i="9"/>
  <c r="H26" i="9"/>
  <c r="H24" i="9"/>
  <c r="H23" i="9"/>
  <c r="H22" i="9"/>
  <c r="H18" i="9"/>
  <c r="H17" i="9"/>
  <c r="H16" i="9"/>
  <c r="H15" i="9"/>
  <c r="H14" i="9"/>
  <c r="H13" i="9"/>
  <c r="H12" i="9"/>
  <c r="H10" i="9"/>
  <c r="H9" i="9"/>
  <c r="H8" i="9"/>
  <c r="H6" i="9"/>
  <c r="H5" i="9"/>
  <c r="G8" i="11"/>
  <c r="G56" i="11"/>
  <c r="G55" i="11"/>
  <c r="G54" i="11"/>
  <c r="G53" i="11"/>
  <c r="G46" i="11"/>
  <c r="G45" i="11"/>
  <c r="G44" i="11"/>
  <c r="G43" i="11"/>
  <c r="G41" i="11"/>
  <c r="G40" i="11"/>
  <c r="G39" i="11"/>
  <c r="G38" i="11"/>
  <c r="G37" i="11"/>
  <c r="G35" i="11"/>
  <c r="G34" i="11"/>
  <c r="G33" i="11"/>
  <c r="G32" i="11"/>
  <c r="G31" i="11"/>
  <c r="G30" i="11"/>
  <c r="G26" i="11"/>
  <c r="G22" i="11"/>
  <c r="G21" i="11"/>
  <c r="G20" i="11"/>
  <c r="G19" i="11"/>
  <c r="G89" i="10"/>
  <c r="G88" i="10"/>
  <c r="G83" i="10"/>
  <c r="G82" i="10"/>
  <c r="G81" i="10"/>
  <c r="G80" i="10"/>
  <c r="G79" i="10"/>
  <c r="G74" i="10"/>
  <c r="G73" i="10"/>
  <c r="G69" i="10"/>
  <c r="G68" i="10"/>
  <c r="G67" i="10"/>
  <c r="G65" i="10"/>
  <c r="G64" i="10"/>
  <c r="G63" i="10"/>
  <c r="G62" i="10"/>
  <c r="G61" i="10"/>
  <c r="G59" i="10"/>
  <c r="G58" i="10"/>
  <c r="G57" i="10"/>
  <c r="G53" i="10"/>
  <c r="G48" i="10"/>
  <c r="G47" i="10"/>
  <c r="G46" i="10"/>
  <c r="G45" i="10"/>
  <c r="G44" i="10"/>
  <c r="G42" i="10"/>
  <c r="G41" i="10"/>
  <c r="G40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1" i="10"/>
  <c r="G20" i="10"/>
  <c r="G19" i="10"/>
  <c r="G18" i="10"/>
  <c r="G13" i="10"/>
  <c r="G12" i="10"/>
  <c r="G11" i="10"/>
  <c r="G10" i="10"/>
  <c r="G9" i="10"/>
  <c r="G8" i="10"/>
  <c r="G7" i="10"/>
  <c r="G3" i="10"/>
  <c r="F76" i="9"/>
  <c r="F72" i="9"/>
  <c r="F71" i="9"/>
  <c r="F70" i="9"/>
  <c r="F66" i="9"/>
  <c r="F65" i="9"/>
  <c r="F64" i="9"/>
  <c r="F63" i="9"/>
  <c r="F62" i="9"/>
  <c r="F58" i="9"/>
  <c r="F57" i="9"/>
  <c r="F53" i="9"/>
  <c r="F52" i="9"/>
  <c r="F48" i="9"/>
  <c r="F47" i="9"/>
  <c r="F46" i="9"/>
  <c r="F45" i="9"/>
  <c r="F38" i="9"/>
  <c r="F37" i="9"/>
  <c r="F36" i="9"/>
  <c r="F35" i="9"/>
  <c r="F34" i="9"/>
  <c r="F33" i="9"/>
  <c r="F32" i="9"/>
  <c r="F31" i="9"/>
  <c r="F29" i="9"/>
  <c r="F28" i="9"/>
  <c r="F27" i="9"/>
  <c r="F26" i="9"/>
  <c r="F24" i="9"/>
  <c r="F23" i="9"/>
  <c r="F22" i="9"/>
  <c r="F18" i="9"/>
  <c r="F17" i="9"/>
  <c r="F16" i="9"/>
  <c r="F15" i="9"/>
  <c r="F14" i="9"/>
  <c r="F13" i="9"/>
  <c r="F12" i="9"/>
  <c r="F10" i="9"/>
  <c r="F9" i="9"/>
  <c r="F8" i="9"/>
  <c r="F6" i="9"/>
  <c r="F5" i="9"/>
  <c r="F10" i="11"/>
  <c r="F6" i="11"/>
  <c r="F56" i="11"/>
  <c r="F55" i="11"/>
  <c r="F54" i="11"/>
  <c r="F53" i="11"/>
  <c r="F50" i="11"/>
  <c r="F46" i="11"/>
  <c r="F45" i="11"/>
  <c r="F44" i="11"/>
  <c r="F43" i="11"/>
  <c r="F41" i="11"/>
  <c r="F40" i="11"/>
  <c r="F39" i="11"/>
  <c r="F38" i="11"/>
  <c r="F37" i="11"/>
  <c r="F35" i="11"/>
  <c r="F34" i="11"/>
  <c r="F33" i="11"/>
  <c r="F32" i="11"/>
  <c r="F31" i="11"/>
  <c r="F30" i="11"/>
  <c r="F26" i="11"/>
  <c r="F22" i="11"/>
  <c r="F21" i="11"/>
  <c r="F20" i="11"/>
  <c r="F19" i="11"/>
  <c r="F89" i="10"/>
  <c r="F88" i="10"/>
  <c r="F83" i="10"/>
  <c r="F82" i="10"/>
  <c r="F81" i="10"/>
  <c r="F80" i="10"/>
  <c r="F79" i="10"/>
  <c r="F74" i="10"/>
  <c r="F73" i="10"/>
  <c r="F69" i="10"/>
  <c r="F68" i="10"/>
  <c r="F67" i="10"/>
  <c r="F65" i="10"/>
  <c r="F64" i="10"/>
  <c r="F63" i="10"/>
  <c r="F62" i="10"/>
  <c r="F61" i="10"/>
  <c r="F59" i="10"/>
  <c r="F58" i="10"/>
  <c r="F57" i="10"/>
  <c r="F53" i="10"/>
  <c r="F48" i="10"/>
  <c r="F47" i="10"/>
  <c r="F46" i="10"/>
  <c r="F45" i="10"/>
  <c r="F44" i="10"/>
  <c r="F42" i="10"/>
  <c r="F41" i="10"/>
  <c r="F40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1" i="10"/>
  <c r="F20" i="10"/>
  <c r="F19" i="10"/>
  <c r="F18" i="10"/>
  <c r="F13" i="10"/>
  <c r="F12" i="10"/>
  <c r="F11" i="10"/>
  <c r="F10" i="10"/>
  <c r="F9" i="10"/>
  <c r="F8" i="10"/>
  <c r="F7" i="10"/>
  <c r="F3" i="10"/>
  <c r="E76" i="9"/>
  <c r="E72" i="9"/>
  <c r="E71" i="9"/>
  <c r="E70" i="9"/>
  <c r="E66" i="9"/>
  <c r="E65" i="9"/>
  <c r="E64" i="9"/>
  <c r="E63" i="9"/>
  <c r="E58" i="9"/>
  <c r="E57" i="9"/>
  <c r="E53" i="9"/>
  <c r="E52" i="9"/>
  <c r="E48" i="9"/>
  <c r="E47" i="9"/>
  <c r="E46" i="9"/>
  <c r="E45" i="9"/>
  <c r="E38" i="9"/>
  <c r="E37" i="9"/>
  <c r="E36" i="9"/>
  <c r="E35" i="9"/>
  <c r="E34" i="9"/>
  <c r="E33" i="9"/>
  <c r="E32" i="9"/>
  <c r="E31" i="9"/>
  <c r="E29" i="9"/>
  <c r="E28" i="9"/>
  <c r="E27" i="9"/>
  <c r="E26" i="9"/>
  <c r="E24" i="9"/>
  <c r="E23" i="9"/>
  <c r="E22" i="9"/>
  <c r="E18" i="9"/>
  <c r="E17" i="9"/>
  <c r="E16" i="9"/>
  <c r="E15" i="9"/>
  <c r="E14" i="9"/>
  <c r="E13" i="9"/>
  <c r="E12" i="9"/>
  <c r="E10" i="9"/>
  <c r="E9" i="9"/>
  <c r="E8" i="9"/>
  <c r="E6" i="9"/>
  <c r="E5" i="9"/>
  <c r="J10" i="11" l="1"/>
  <c r="F7" i="11"/>
  <c r="G4" i="11"/>
  <c r="G9" i="11"/>
  <c r="I7" i="11"/>
  <c r="J7" i="11"/>
  <c r="J6" i="11"/>
  <c r="F8" i="11"/>
  <c r="G6" i="11"/>
  <c r="G10" i="11"/>
  <c r="I8" i="11"/>
  <c r="J8" i="11"/>
  <c r="F4" i="11"/>
  <c r="F9" i="11"/>
  <c r="G7" i="11"/>
  <c r="I4" i="11"/>
  <c r="I9" i="11"/>
  <c r="J4" i="11"/>
  <c r="J9" i="11"/>
  <c r="E62" i="9"/>
  <c r="AI51" i="3" l="1"/>
  <c r="AI57" i="3" s="1"/>
  <c r="AJ45" i="3"/>
  <c r="AJ40" i="3"/>
  <c r="AJ39" i="3"/>
  <c r="AJ38" i="3"/>
  <c r="AJ37" i="3"/>
  <c r="AJ33" i="3"/>
  <c r="AJ31" i="3"/>
  <c r="AJ30" i="3"/>
  <c r="AJ22" i="3"/>
  <c r="AJ19" i="3"/>
  <c r="AJ14" i="3"/>
  <c r="AJ13" i="3"/>
  <c r="AJ10" i="3"/>
  <c r="AJ9" i="3"/>
  <c r="AJ8" i="3"/>
  <c r="AH51" i="3"/>
  <c r="AH57" i="3" s="1"/>
  <c r="AH42" i="3"/>
  <c r="AI42" i="3"/>
  <c r="AH36" i="3"/>
  <c r="AI36" i="3"/>
  <c r="AH29" i="3"/>
  <c r="AI29" i="3"/>
  <c r="AH27" i="3"/>
  <c r="AI27" i="3"/>
  <c r="AH24" i="3"/>
  <c r="AI24" i="3"/>
  <c r="AH5" i="3"/>
  <c r="AI5" i="3"/>
  <c r="AJ83" i="2"/>
  <c r="AJ80" i="2"/>
  <c r="AJ79" i="2"/>
  <c r="AJ73" i="2"/>
  <c r="AJ64" i="2"/>
  <c r="AJ63" i="2"/>
  <c r="AJ59" i="2"/>
  <c r="AJ57" i="2"/>
  <c r="AJ48" i="2"/>
  <c r="AJ46" i="2"/>
  <c r="AJ45" i="2"/>
  <c r="AJ44" i="2"/>
  <c r="AJ41" i="2"/>
  <c r="AJ40" i="2"/>
  <c r="AJ33" i="2"/>
  <c r="AJ24" i="2"/>
  <c r="AJ21" i="2"/>
  <c r="AJ20" i="2"/>
  <c r="AJ19" i="2"/>
  <c r="AJ18" i="2"/>
  <c r="AH90" i="2"/>
  <c r="AI90" i="2"/>
  <c r="AH78" i="2"/>
  <c r="AH84" i="2" s="1"/>
  <c r="AI78" i="2"/>
  <c r="AI84" i="2" s="1"/>
  <c r="AH75" i="2"/>
  <c r="AI75" i="2"/>
  <c r="AH66" i="2"/>
  <c r="AI66" i="2"/>
  <c r="AH60" i="2"/>
  <c r="AI60" i="2"/>
  <c r="AI70" i="2" s="1"/>
  <c r="AI85" i="2" s="1"/>
  <c r="AH54" i="2"/>
  <c r="AI54" i="2"/>
  <c r="AH43" i="2"/>
  <c r="AI43" i="2"/>
  <c r="AH39" i="2"/>
  <c r="AH49" i="2" s="1"/>
  <c r="AI39" i="2"/>
  <c r="AH22" i="2"/>
  <c r="AI22" i="2"/>
  <c r="AH17" i="2"/>
  <c r="AI17" i="2"/>
  <c r="AH14" i="2"/>
  <c r="AI14" i="2"/>
  <c r="AH4" i="2"/>
  <c r="AI4" i="2"/>
  <c r="AI69" i="4"/>
  <c r="AG73" i="4"/>
  <c r="AH73" i="4"/>
  <c r="AG67" i="4"/>
  <c r="AH67" i="4"/>
  <c r="AG59" i="4"/>
  <c r="AH59" i="4"/>
  <c r="AG54" i="4"/>
  <c r="AH54" i="4"/>
  <c r="AG49" i="4"/>
  <c r="AH49" i="4"/>
  <c r="AG30" i="4"/>
  <c r="AH30" i="4"/>
  <c r="AG25" i="4"/>
  <c r="AH25" i="4"/>
  <c r="AG11" i="4"/>
  <c r="AH11" i="4"/>
  <c r="AG7" i="4"/>
  <c r="AH7" i="4"/>
  <c r="AG74" i="4" l="1"/>
  <c r="AH70" i="2"/>
  <c r="AH85" i="2" s="1"/>
  <c r="AI36" i="2"/>
  <c r="AI49" i="2"/>
  <c r="AI50" i="2" s="1"/>
  <c r="AI92" i="2" s="1"/>
  <c r="AG39" i="4"/>
  <c r="AH36" i="2"/>
  <c r="AH50" i="2" s="1"/>
  <c r="AH47" i="3"/>
  <c r="AI47" i="3"/>
  <c r="AH39" i="4"/>
  <c r="AH55" i="4"/>
  <c r="AH74" i="4"/>
  <c r="AG55" i="4"/>
  <c r="AH19" i="4"/>
  <c r="AG19" i="4"/>
  <c r="AH92" i="2" l="1"/>
  <c r="AH40" i="4"/>
  <c r="AH75" i="4" s="1"/>
  <c r="AH77" i="4" s="1"/>
  <c r="AI11" i="3" s="1"/>
  <c r="AI12" i="3" s="1"/>
  <c r="AI16" i="3" s="1"/>
  <c r="AI58" i="3" s="1"/>
  <c r="AI59" i="3" s="1"/>
  <c r="N15" i="3" l="1"/>
  <c r="M15" i="3"/>
  <c r="G12" i="12" l="1"/>
  <c r="D36" i="12"/>
  <c r="E36" i="12"/>
  <c r="F36" i="12"/>
  <c r="D12" i="12"/>
  <c r="E12" i="12"/>
  <c r="F12" i="12"/>
  <c r="G24" i="11" l="1"/>
  <c r="E37" i="12" s="1"/>
  <c r="E53" i="11"/>
  <c r="E54" i="11"/>
  <c r="E55" i="11"/>
  <c r="E56" i="11"/>
  <c r="E30" i="11"/>
  <c r="E31" i="11"/>
  <c r="E32" i="11"/>
  <c r="E33" i="11"/>
  <c r="E34" i="11"/>
  <c r="E35" i="11"/>
  <c r="E37" i="11"/>
  <c r="E38" i="11"/>
  <c r="E39" i="11"/>
  <c r="E40" i="11"/>
  <c r="E41" i="11"/>
  <c r="E43" i="11"/>
  <c r="E44" i="11"/>
  <c r="E45" i="11"/>
  <c r="E46" i="11"/>
  <c r="E20" i="11"/>
  <c r="E21" i="11"/>
  <c r="E22" i="11"/>
  <c r="E50" i="11"/>
  <c r="E26" i="11"/>
  <c r="E19" i="11"/>
  <c r="E6" i="11"/>
  <c r="E7" i="11"/>
  <c r="E8" i="11"/>
  <c r="E9" i="11"/>
  <c r="E10" i="11"/>
  <c r="E4" i="11"/>
  <c r="H27" i="11"/>
  <c r="F38" i="12" s="1"/>
  <c r="J90" i="10"/>
  <c r="H29" i="12" s="1"/>
  <c r="J75" i="10"/>
  <c r="H26" i="12" s="1"/>
  <c r="J54" i="10"/>
  <c r="H24" i="12" s="1"/>
  <c r="J4" i="10"/>
  <c r="H17" i="12" s="1"/>
  <c r="I54" i="10"/>
  <c r="G24" i="12" s="1"/>
  <c r="H54" i="10"/>
  <c r="F24" i="12" s="1"/>
  <c r="H4" i="10"/>
  <c r="F17" i="12" s="1"/>
  <c r="E89" i="10"/>
  <c r="E79" i="10"/>
  <c r="E80" i="10"/>
  <c r="E81" i="10"/>
  <c r="E82" i="10"/>
  <c r="E83" i="10"/>
  <c r="E74" i="10"/>
  <c r="E57" i="10"/>
  <c r="E58" i="10"/>
  <c r="E59" i="10"/>
  <c r="E61" i="10"/>
  <c r="E62" i="10"/>
  <c r="E63" i="10"/>
  <c r="E64" i="10"/>
  <c r="E65" i="10"/>
  <c r="E67" i="10"/>
  <c r="E68" i="10"/>
  <c r="E69" i="10"/>
  <c r="E40" i="10"/>
  <c r="E41" i="10"/>
  <c r="E42" i="10"/>
  <c r="E44" i="10"/>
  <c r="E45" i="10"/>
  <c r="E46" i="10"/>
  <c r="E47" i="10"/>
  <c r="E48" i="10"/>
  <c r="E18" i="10"/>
  <c r="E19" i="10"/>
  <c r="E20" i="10"/>
  <c r="E21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8" i="10"/>
  <c r="E9" i="10"/>
  <c r="E10" i="10"/>
  <c r="E11" i="10"/>
  <c r="E12" i="10"/>
  <c r="E13" i="10"/>
  <c r="E88" i="10"/>
  <c r="E73" i="10"/>
  <c r="E53" i="10"/>
  <c r="E7" i="10"/>
  <c r="E3" i="10"/>
  <c r="I75" i="10"/>
  <c r="G26" i="12" s="1"/>
  <c r="D70" i="9"/>
  <c r="D71" i="9"/>
  <c r="D72" i="9"/>
  <c r="D76" i="9"/>
  <c r="D69" i="9"/>
  <c r="D63" i="9"/>
  <c r="D64" i="9"/>
  <c r="D65" i="9"/>
  <c r="D66" i="9"/>
  <c r="D62" i="9"/>
  <c r="D58" i="9"/>
  <c r="D57" i="9"/>
  <c r="D53" i="9"/>
  <c r="D52" i="9"/>
  <c r="D45" i="9"/>
  <c r="D46" i="9"/>
  <c r="D47" i="9"/>
  <c r="D48" i="9"/>
  <c r="D44" i="9"/>
  <c r="D23" i="9"/>
  <c r="D24" i="9"/>
  <c r="D26" i="9"/>
  <c r="D27" i="9"/>
  <c r="D28" i="9"/>
  <c r="D29" i="9"/>
  <c r="D31" i="9"/>
  <c r="D32" i="9"/>
  <c r="D33" i="9"/>
  <c r="D34" i="9"/>
  <c r="D35" i="9"/>
  <c r="D36" i="9"/>
  <c r="D37" i="9"/>
  <c r="D38" i="9"/>
  <c r="D22" i="9"/>
  <c r="D6" i="9"/>
  <c r="D8" i="9"/>
  <c r="D9" i="9"/>
  <c r="D10" i="9"/>
  <c r="D12" i="9"/>
  <c r="D13" i="9"/>
  <c r="D14" i="9"/>
  <c r="D15" i="9"/>
  <c r="D16" i="9"/>
  <c r="D17" i="9"/>
  <c r="D18" i="9"/>
  <c r="D5" i="9"/>
  <c r="AJ41" i="3"/>
  <c r="Z27" i="3"/>
  <c r="Z24" i="3"/>
  <c r="W36" i="3"/>
  <c r="T36" i="3"/>
  <c r="T5" i="3"/>
  <c r="T52" i="3"/>
  <c r="T29" i="3"/>
  <c r="T27" i="3"/>
  <c r="R52" i="3"/>
  <c r="S52" i="3"/>
  <c r="U52" i="3"/>
  <c r="U51" i="3" s="1"/>
  <c r="U57" i="3" s="1"/>
  <c r="V52" i="3"/>
  <c r="W52" i="3"/>
  <c r="X52" i="3"/>
  <c r="Y52" i="3"/>
  <c r="Y51" i="3" s="1"/>
  <c r="Y57" i="3" s="1"/>
  <c r="Z52" i="3"/>
  <c r="Z51" i="3" s="1"/>
  <c r="Z57" i="3" s="1"/>
  <c r="R51" i="3"/>
  <c r="R57" i="3" s="1"/>
  <c r="S51" i="3"/>
  <c r="S57" i="3" s="1"/>
  <c r="V51" i="3"/>
  <c r="V57" i="3" s="1"/>
  <c r="X51" i="3"/>
  <c r="X57" i="3" s="1"/>
  <c r="R42" i="3"/>
  <c r="S42" i="3"/>
  <c r="T42" i="3"/>
  <c r="U42" i="3"/>
  <c r="V42" i="3"/>
  <c r="X42" i="3"/>
  <c r="Y42" i="3"/>
  <c r="Z42" i="3"/>
  <c r="R36" i="3"/>
  <c r="S36" i="3"/>
  <c r="U36" i="3"/>
  <c r="V36" i="3"/>
  <c r="X36" i="3"/>
  <c r="Y36" i="3"/>
  <c r="Z36" i="3"/>
  <c r="R29" i="3"/>
  <c r="S29" i="3"/>
  <c r="U29" i="3"/>
  <c r="V29" i="3"/>
  <c r="X29" i="3"/>
  <c r="Y29" i="3"/>
  <c r="Z29" i="3"/>
  <c r="R27" i="3"/>
  <c r="S27" i="3"/>
  <c r="U27" i="3"/>
  <c r="V27" i="3"/>
  <c r="X27" i="3"/>
  <c r="Y27" i="3"/>
  <c r="S24" i="3"/>
  <c r="T24" i="3"/>
  <c r="U24" i="3"/>
  <c r="V24" i="3"/>
  <c r="X24" i="3"/>
  <c r="Y24" i="3"/>
  <c r="R5" i="3"/>
  <c r="S5" i="3"/>
  <c r="U5" i="3"/>
  <c r="X5" i="3"/>
  <c r="H52" i="3"/>
  <c r="I52" i="3"/>
  <c r="J52" i="3"/>
  <c r="J52" i="11" s="1"/>
  <c r="H42" i="3"/>
  <c r="H42" i="11" s="1"/>
  <c r="I42" i="3"/>
  <c r="J42" i="3"/>
  <c r="H36" i="3"/>
  <c r="I36" i="3"/>
  <c r="J36" i="3"/>
  <c r="J36" i="11" s="1"/>
  <c r="H29" i="3"/>
  <c r="H29" i="11" s="1"/>
  <c r="I29" i="3"/>
  <c r="J29" i="3"/>
  <c r="H27" i="3"/>
  <c r="I27" i="3"/>
  <c r="J27" i="3"/>
  <c r="H24" i="3"/>
  <c r="I24" i="3"/>
  <c r="J24" i="3"/>
  <c r="H15" i="3"/>
  <c r="I15" i="3"/>
  <c r="J15" i="3"/>
  <c r="H5" i="3"/>
  <c r="I5" i="3"/>
  <c r="J5" i="3"/>
  <c r="AJ61" i="2"/>
  <c r="Z39" i="2"/>
  <c r="Z22" i="2"/>
  <c r="Z75" i="2"/>
  <c r="Z66" i="2"/>
  <c r="W90" i="2"/>
  <c r="W75" i="2"/>
  <c r="W56" i="2"/>
  <c r="W54" i="2"/>
  <c r="W17" i="2"/>
  <c r="T60" i="2"/>
  <c r="H60" i="10" s="1"/>
  <c r="T56" i="2"/>
  <c r="T43" i="2"/>
  <c r="T22" i="2"/>
  <c r="T17" i="2"/>
  <c r="H17" i="10" s="1"/>
  <c r="T14" i="2"/>
  <c r="T78" i="2"/>
  <c r="H78" i="10" s="1"/>
  <c r="T66" i="2"/>
  <c r="T90" i="2"/>
  <c r="T75" i="2"/>
  <c r="T4" i="2"/>
  <c r="R90" i="2"/>
  <c r="S90" i="2"/>
  <c r="U90" i="2"/>
  <c r="V90" i="2"/>
  <c r="X90" i="2"/>
  <c r="Y90" i="2"/>
  <c r="Z90" i="2"/>
  <c r="R78" i="2"/>
  <c r="R84" i="2" s="1"/>
  <c r="S78" i="2"/>
  <c r="S84" i="2" s="1"/>
  <c r="U78" i="2"/>
  <c r="U84" i="2" s="1"/>
  <c r="V78" i="2"/>
  <c r="V84" i="2" s="1"/>
  <c r="W78" i="2"/>
  <c r="X78" i="2"/>
  <c r="X84" i="2" s="1"/>
  <c r="Y78" i="2"/>
  <c r="Y84" i="2" s="1"/>
  <c r="Z78" i="2"/>
  <c r="R75" i="2"/>
  <c r="S75" i="2"/>
  <c r="U75" i="2"/>
  <c r="V75" i="2"/>
  <c r="X75" i="2"/>
  <c r="Y75" i="2"/>
  <c r="R66" i="2"/>
  <c r="S66" i="2"/>
  <c r="V66" i="2"/>
  <c r="X66" i="2"/>
  <c r="Y66" i="2"/>
  <c r="R60" i="2"/>
  <c r="S60" i="2"/>
  <c r="U60" i="2"/>
  <c r="V60" i="2"/>
  <c r="X60" i="2"/>
  <c r="Y60" i="2"/>
  <c r="Z60" i="2"/>
  <c r="R56" i="2"/>
  <c r="S56" i="2"/>
  <c r="U56" i="2"/>
  <c r="V56" i="2"/>
  <c r="X56" i="2"/>
  <c r="Y56" i="2"/>
  <c r="Z56" i="2"/>
  <c r="R54" i="2"/>
  <c r="S54" i="2"/>
  <c r="T54" i="2"/>
  <c r="U54" i="2"/>
  <c r="V54" i="2"/>
  <c r="X54" i="2"/>
  <c r="Y54" i="2"/>
  <c r="Z54" i="2"/>
  <c r="R43" i="2"/>
  <c r="S43" i="2"/>
  <c r="U43" i="2"/>
  <c r="V43" i="2"/>
  <c r="W43" i="2"/>
  <c r="X43" i="2"/>
  <c r="Y43" i="2"/>
  <c r="Z43" i="2"/>
  <c r="R39" i="2"/>
  <c r="R49" i="2" s="1"/>
  <c r="S39" i="2"/>
  <c r="S49" i="2" s="1"/>
  <c r="T39" i="2"/>
  <c r="U39" i="2"/>
  <c r="V39" i="2"/>
  <c r="V49" i="2" s="1"/>
  <c r="W39" i="2"/>
  <c r="X39" i="2"/>
  <c r="X49" i="2" s="1"/>
  <c r="Y39" i="2"/>
  <c r="R22" i="2"/>
  <c r="S22" i="2"/>
  <c r="U22" i="2"/>
  <c r="V22" i="2"/>
  <c r="X22" i="2"/>
  <c r="Y22" i="2"/>
  <c r="R17" i="2"/>
  <c r="S17" i="2"/>
  <c r="U17" i="2"/>
  <c r="V17" i="2"/>
  <c r="X17" i="2"/>
  <c r="Y17" i="2"/>
  <c r="Z17" i="2"/>
  <c r="R14" i="2"/>
  <c r="S14" i="2"/>
  <c r="U14" i="2"/>
  <c r="V14" i="2"/>
  <c r="X14" i="2"/>
  <c r="Y14" i="2"/>
  <c r="R4" i="2"/>
  <c r="S4" i="2"/>
  <c r="U4" i="2"/>
  <c r="V4" i="2"/>
  <c r="W4" i="2"/>
  <c r="X4" i="2"/>
  <c r="Y4" i="2"/>
  <c r="Z4" i="2"/>
  <c r="AA4" i="2"/>
  <c r="O4" i="2"/>
  <c r="P4" i="2"/>
  <c r="G90" i="2"/>
  <c r="H90" i="2"/>
  <c r="I90" i="2"/>
  <c r="H84" i="2"/>
  <c r="G78" i="2"/>
  <c r="H78" i="2"/>
  <c r="I78" i="2"/>
  <c r="G75" i="2"/>
  <c r="H75" i="2"/>
  <c r="I75" i="2"/>
  <c r="G66" i="2"/>
  <c r="H66" i="2"/>
  <c r="I66" i="2"/>
  <c r="G60" i="2"/>
  <c r="H60" i="2"/>
  <c r="I60" i="2"/>
  <c r="G56" i="2"/>
  <c r="H56" i="2"/>
  <c r="I56" i="2"/>
  <c r="G54" i="2"/>
  <c r="H54" i="2"/>
  <c r="I54" i="2"/>
  <c r="G43" i="2"/>
  <c r="H43" i="2"/>
  <c r="I43" i="2"/>
  <c r="G39" i="2"/>
  <c r="H39" i="2"/>
  <c r="I39" i="2"/>
  <c r="G22" i="2"/>
  <c r="H22" i="2"/>
  <c r="I22" i="2"/>
  <c r="G17" i="2"/>
  <c r="H17" i="2"/>
  <c r="I17" i="2"/>
  <c r="G14" i="2"/>
  <c r="H14" i="2"/>
  <c r="I14" i="2"/>
  <c r="G4" i="2"/>
  <c r="H4" i="2"/>
  <c r="I4" i="2"/>
  <c r="I76" i="9"/>
  <c r="G10" i="12"/>
  <c r="V25" i="4"/>
  <c r="F10" i="12"/>
  <c r="S7" i="4"/>
  <c r="F49" i="9"/>
  <c r="AI72" i="4"/>
  <c r="AI71" i="4"/>
  <c r="AI70" i="4"/>
  <c r="AI65" i="4"/>
  <c r="AI64" i="4"/>
  <c r="AI63" i="4"/>
  <c r="AI46" i="4"/>
  <c r="AI45" i="4"/>
  <c r="AI37" i="4"/>
  <c r="AI26" i="4"/>
  <c r="AI6" i="4"/>
  <c r="AI5" i="4"/>
  <c r="W73" i="4"/>
  <c r="X73" i="4"/>
  <c r="W67" i="4"/>
  <c r="X67" i="4"/>
  <c r="W59" i="4"/>
  <c r="X59" i="4"/>
  <c r="W54" i="4"/>
  <c r="X54" i="4"/>
  <c r="Y54" i="4"/>
  <c r="W49" i="4"/>
  <c r="X49" i="4"/>
  <c r="W30" i="4"/>
  <c r="X30" i="4"/>
  <c r="W25" i="4"/>
  <c r="X25" i="4"/>
  <c r="Y25" i="4"/>
  <c r="W11" i="4"/>
  <c r="X11" i="4"/>
  <c r="Y11" i="4"/>
  <c r="W7" i="4"/>
  <c r="X7" i="4"/>
  <c r="Q73" i="4"/>
  <c r="R73" i="4"/>
  <c r="T73" i="4"/>
  <c r="U73" i="4"/>
  <c r="T67" i="4"/>
  <c r="U67" i="4"/>
  <c r="T59" i="4"/>
  <c r="U59" i="4"/>
  <c r="T54" i="4"/>
  <c r="U54" i="4"/>
  <c r="T49" i="4"/>
  <c r="U49" i="4"/>
  <c r="T30" i="4"/>
  <c r="U30" i="4"/>
  <c r="T25" i="4"/>
  <c r="U25" i="4"/>
  <c r="T11" i="4"/>
  <c r="U11" i="4"/>
  <c r="T7" i="4"/>
  <c r="U7" i="4"/>
  <c r="Q67" i="4"/>
  <c r="Q74" i="4" s="1"/>
  <c r="R67" i="4"/>
  <c r="Q59" i="4"/>
  <c r="R59" i="4"/>
  <c r="Q54" i="4"/>
  <c r="R54" i="4"/>
  <c r="Q49" i="4"/>
  <c r="R49" i="4"/>
  <c r="Q30" i="4"/>
  <c r="R30" i="4"/>
  <c r="Q25" i="4"/>
  <c r="R25" i="4"/>
  <c r="Q11" i="4"/>
  <c r="R11" i="4"/>
  <c r="S11" i="4"/>
  <c r="Q7" i="4"/>
  <c r="R7" i="4"/>
  <c r="G73" i="4"/>
  <c r="H73" i="4"/>
  <c r="I73" i="4"/>
  <c r="G67" i="4"/>
  <c r="H67" i="4"/>
  <c r="I67" i="4"/>
  <c r="G59" i="4"/>
  <c r="H59" i="4"/>
  <c r="I59" i="4"/>
  <c r="G54" i="4"/>
  <c r="H54" i="4"/>
  <c r="I54" i="4"/>
  <c r="G49" i="4"/>
  <c r="H49" i="4"/>
  <c r="I49" i="4"/>
  <c r="H30" i="4"/>
  <c r="I30" i="4"/>
  <c r="G25" i="4"/>
  <c r="H25" i="4"/>
  <c r="I25" i="4"/>
  <c r="G11" i="4"/>
  <c r="H11" i="4"/>
  <c r="I11" i="4"/>
  <c r="G7" i="4"/>
  <c r="H7" i="4"/>
  <c r="I7" i="4"/>
  <c r="AB11" i="4"/>
  <c r="H36" i="11" l="1"/>
  <c r="H43" i="10"/>
  <c r="I56" i="10"/>
  <c r="T51" i="3"/>
  <c r="H52" i="11"/>
  <c r="G7" i="9"/>
  <c r="H5" i="11"/>
  <c r="H66" i="10"/>
  <c r="H39" i="10"/>
  <c r="G11" i="9"/>
  <c r="H56" i="10"/>
  <c r="H22" i="10"/>
  <c r="H47" i="3"/>
  <c r="I17" i="10"/>
  <c r="I25" i="9"/>
  <c r="I43" i="10"/>
  <c r="H25" i="9"/>
  <c r="I39" i="10"/>
  <c r="I49" i="10" s="1"/>
  <c r="G21" i="12" s="1"/>
  <c r="J29" i="11"/>
  <c r="I36" i="11"/>
  <c r="J51" i="3"/>
  <c r="J51" i="11" s="1"/>
  <c r="J42" i="11"/>
  <c r="H51" i="3"/>
  <c r="I11" i="9"/>
  <c r="H84" i="10"/>
  <c r="F27" i="12" s="1"/>
  <c r="I84" i="2"/>
  <c r="I78" i="10"/>
  <c r="I84" i="10" s="1"/>
  <c r="G27" i="12" s="1"/>
  <c r="U70" i="2"/>
  <c r="U85" i="2" s="1"/>
  <c r="H57" i="3"/>
  <c r="U74" i="4"/>
  <c r="W74" i="4"/>
  <c r="G84" i="2"/>
  <c r="X70" i="2"/>
  <c r="X85" i="2" s="1"/>
  <c r="R70" i="2"/>
  <c r="I51" i="3"/>
  <c r="I52" i="11"/>
  <c r="R74" i="4"/>
  <c r="X47" i="3"/>
  <c r="R47" i="3"/>
  <c r="U47" i="3"/>
  <c r="S47" i="3"/>
  <c r="X36" i="2"/>
  <c r="X50" i="2" s="1"/>
  <c r="R36" i="2"/>
  <c r="R50" i="2" s="1"/>
  <c r="V36" i="2"/>
  <c r="V50" i="2" s="1"/>
  <c r="D49" i="9"/>
  <c r="H49" i="9"/>
  <c r="H36" i="2"/>
  <c r="H24" i="11"/>
  <c r="F37" i="12" s="1"/>
  <c r="AJ56" i="3"/>
  <c r="AJ55" i="3"/>
  <c r="AJ54" i="3"/>
  <c r="AJ53" i="3"/>
  <c r="AJ50" i="3"/>
  <c r="AJ46" i="3"/>
  <c r="AJ44" i="3"/>
  <c r="AJ43" i="3"/>
  <c r="AJ34" i="3"/>
  <c r="AJ35" i="3"/>
  <c r="AJ32" i="3"/>
  <c r="W27" i="3"/>
  <c r="G27" i="11"/>
  <c r="E38" i="12" s="1"/>
  <c r="F27" i="11"/>
  <c r="D38" i="12" s="1"/>
  <c r="AJ26" i="3"/>
  <c r="AJ21" i="3"/>
  <c r="AJ20" i="3"/>
  <c r="AJ7" i="3"/>
  <c r="AJ6" i="3"/>
  <c r="AJ4" i="3"/>
  <c r="AJ89" i="2"/>
  <c r="AJ88" i="2"/>
  <c r="Z84" i="2"/>
  <c r="AJ82" i="2"/>
  <c r="AJ81" i="2"/>
  <c r="AJ74" i="2"/>
  <c r="AJ68" i="2"/>
  <c r="AJ69" i="2"/>
  <c r="AJ67" i="2"/>
  <c r="AJ62" i="2"/>
  <c r="AJ65" i="2"/>
  <c r="AJ58" i="2"/>
  <c r="AJ53" i="2"/>
  <c r="AJ47" i="2"/>
  <c r="AJ42" i="2"/>
  <c r="AJ35" i="2"/>
  <c r="AJ25" i="2"/>
  <c r="AJ29" i="2"/>
  <c r="AJ32" i="2"/>
  <c r="AJ26" i="2"/>
  <c r="AJ31" i="2"/>
  <c r="AJ28" i="2"/>
  <c r="AJ27" i="2"/>
  <c r="AJ30" i="2"/>
  <c r="AJ23" i="2"/>
  <c r="Z14" i="2"/>
  <c r="I4" i="10"/>
  <c r="G17" i="12" s="1"/>
  <c r="AJ3" i="2"/>
  <c r="AJ8" i="2"/>
  <c r="AJ7" i="2"/>
  <c r="AJ13" i="2"/>
  <c r="AJ11" i="2"/>
  <c r="AJ9" i="2"/>
  <c r="AJ10" i="2"/>
  <c r="AJ12" i="2"/>
  <c r="E10" i="12"/>
  <c r="AI58" i="4"/>
  <c r="AI52" i="4"/>
  <c r="AI53" i="4"/>
  <c r="AI48" i="4"/>
  <c r="E49" i="9"/>
  <c r="AI33" i="4"/>
  <c r="AI34" i="4"/>
  <c r="AI38" i="4"/>
  <c r="AI29" i="4"/>
  <c r="AI24" i="4"/>
  <c r="AI22" i="4"/>
  <c r="AI17" i="4"/>
  <c r="AI14" i="4"/>
  <c r="AI13" i="4"/>
  <c r="AI12" i="4"/>
  <c r="S25" i="4"/>
  <c r="G25" i="9" s="1"/>
  <c r="S67" i="4"/>
  <c r="V73" i="4"/>
  <c r="Y73" i="4"/>
  <c r="AB7" i="4"/>
  <c r="AB30" i="4"/>
  <c r="AB25" i="4"/>
  <c r="Y30" i="4"/>
  <c r="I30" i="9" s="1"/>
  <c r="X74" i="4"/>
  <c r="AI9" i="4"/>
  <c r="AI31" i="4"/>
  <c r="AI35" i="4"/>
  <c r="AI62" i="4"/>
  <c r="AI66" i="4"/>
  <c r="AI76" i="4"/>
  <c r="S49" i="4"/>
  <c r="S73" i="4"/>
  <c r="V49" i="4"/>
  <c r="G49" i="9"/>
  <c r="H73" i="9"/>
  <c r="V67" i="4"/>
  <c r="AI10" i="4"/>
  <c r="AI15" i="4"/>
  <c r="AI27" i="4"/>
  <c r="AI32" i="4"/>
  <c r="AI36" i="4"/>
  <c r="G67" i="9"/>
  <c r="Y67" i="4"/>
  <c r="Y74" i="4" s="1"/>
  <c r="G74" i="4"/>
  <c r="S30" i="4"/>
  <c r="G30" i="9" s="1"/>
  <c r="Y7" i="4"/>
  <c r="Y19" i="4" s="1"/>
  <c r="AI16" i="4"/>
  <c r="AI23" i="4"/>
  <c r="AI28" i="4"/>
  <c r="AI47" i="4"/>
  <c r="AI57" i="4"/>
  <c r="Y49" i="4"/>
  <c r="Y55" i="4" s="1"/>
  <c r="I49" i="9"/>
  <c r="Y59" i="4"/>
  <c r="G73" i="9"/>
  <c r="AJ34" i="2"/>
  <c r="AI18" i="4"/>
  <c r="V7" i="4"/>
  <c r="H7" i="9" s="1"/>
  <c r="AI8" i="4"/>
  <c r="V47" i="3"/>
  <c r="J47" i="3"/>
  <c r="H47" i="11"/>
  <c r="F39" i="12" s="1"/>
  <c r="Y47" i="3"/>
  <c r="Y70" i="2"/>
  <c r="Y85" i="2" s="1"/>
  <c r="G49" i="2"/>
  <c r="I49" i="2"/>
  <c r="U36" i="2"/>
  <c r="S70" i="2"/>
  <c r="S85" i="2" s="1"/>
  <c r="S92" i="2" s="1"/>
  <c r="Y36" i="2"/>
  <c r="Y50" i="2" s="1"/>
  <c r="S36" i="2"/>
  <c r="S50" i="2" s="1"/>
  <c r="Y49" i="2"/>
  <c r="U49" i="2"/>
  <c r="R85" i="2"/>
  <c r="V70" i="2"/>
  <c r="V85" i="2" s="1"/>
  <c r="H75" i="10"/>
  <c r="F26" i="12" s="1"/>
  <c r="I36" i="2"/>
  <c r="G36" i="2"/>
  <c r="H49" i="2"/>
  <c r="H70" i="2"/>
  <c r="H85" i="2" s="1"/>
  <c r="H14" i="10"/>
  <c r="F19" i="12" s="1"/>
  <c r="F73" i="9"/>
  <c r="U55" i="4"/>
  <c r="X39" i="4"/>
  <c r="F54" i="9"/>
  <c r="H67" i="9"/>
  <c r="I39" i="4"/>
  <c r="W19" i="4"/>
  <c r="T55" i="4"/>
  <c r="W55" i="4"/>
  <c r="G54" i="9"/>
  <c r="J57" i="3"/>
  <c r="Y5" i="3"/>
  <c r="Z5" i="3"/>
  <c r="J14" i="10"/>
  <c r="H19" i="12" s="1"/>
  <c r="W51" i="3"/>
  <c r="W57" i="3" s="1"/>
  <c r="I57" i="3"/>
  <c r="W42" i="3"/>
  <c r="I42" i="11" s="1"/>
  <c r="I47" i="3"/>
  <c r="W29" i="3"/>
  <c r="I29" i="11" s="1"/>
  <c r="W24" i="3"/>
  <c r="V5" i="3"/>
  <c r="W5" i="3"/>
  <c r="I90" i="10"/>
  <c r="G29" i="12" s="1"/>
  <c r="W66" i="2"/>
  <c r="I66" i="10" s="1"/>
  <c r="I70" i="2"/>
  <c r="W60" i="2"/>
  <c r="I60" i="10" s="1"/>
  <c r="W22" i="2"/>
  <c r="W14" i="2"/>
  <c r="I14" i="10"/>
  <c r="G19" i="12" s="1"/>
  <c r="V30" i="4"/>
  <c r="H30" i="9" s="1"/>
  <c r="H39" i="4"/>
  <c r="V11" i="4"/>
  <c r="H11" i="9" s="1"/>
  <c r="G70" i="2"/>
  <c r="G85" i="2" s="1"/>
  <c r="F59" i="9"/>
  <c r="E7" i="12" s="1"/>
  <c r="H90" i="10"/>
  <c r="F29" i="12" s="1"/>
  <c r="H59" i="9"/>
  <c r="G7" i="12" s="1"/>
  <c r="H54" i="9"/>
  <c r="G59" i="9"/>
  <c r="F7" i="12" s="1"/>
  <c r="F67" i="9"/>
  <c r="Z47" i="3"/>
  <c r="T47" i="3"/>
  <c r="Z49" i="2"/>
  <c r="Z36" i="2"/>
  <c r="Z70" i="2"/>
  <c r="Z85" i="2" s="1"/>
  <c r="W84" i="2"/>
  <c r="W49" i="2"/>
  <c r="T84" i="2"/>
  <c r="T49" i="2"/>
  <c r="T36" i="2"/>
  <c r="T70" i="2"/>
  <c r="V59" i="4"/>
  <c r="V54" i="4"/>
  <c r="S54" i="4"/>
  <c r="S59" i="4"/>
  <c r="G39" i="4"/>
  <c r="T74" i="4"/>
  <c r="X55" i="4"/>
  <c r="U19" i="4"/>
  <c r="U39" i="4"/>
  <c r="X19" i="4"/>
  <c r="W39" i="4"/>
  <c r="T19" i="4"/>
  <c r="T39" i="4"/>
  <c r="Q39" i="4"/>
  <c r="I19" i="4"/>
  <c r="I55" i="4"/>
  <c r="Q19" i="4"/>
  <c r="Q55" i="4"/>
  <c r="I74" i="4"/>
  <c r="G55" i="4"/>
  <c r="H74" i="4"/>
  <c r="R55" i="4"/>
  <c r="H19" i="4"/>
  <c r="G19" i="4"/>
  <c r="S19" i="4"/>
  <c r="R19" i="4"/>
  <c r="R39" i="4"/>
  <c r="H55" i="4"/>
  <c r="F30" i="4"/>
  <c r="H49" i="10" l="1"/>
  <c r="T57" i="3"/>
  <c r="H51" i="11"/>
  <c r="H57" i="11" s="1"/>
  <c r="F40" i="12" s="1"/>
  <c r="J5" i="11"/>
  <c r="Y39" i="4"/>
  <c r="Y40" i="4" s="1"/>
  <c r="Y75" i="4" s="1"/>
  <c r="Y77" i="4" s="1"/>
  <c r="Z11" i="3" s="1"/>
  <c r="Z12" i="3" s="1"/>
  <c r="Z16" i="3" s="1"/>
  <c r="Z58" i="3" s="1"/>
  <c r="Z59" i="3" s="1"/>
  <c r="I85" i="2"/>
  <c r="S74" i="4"/>
  <c r="V74" i="4"/>
  <c r="I5" i="11"/>
  <c r="G50" i="2"/>
  <c r="G92" i="2" s="1"/>
  <c r="G19" i="9"/>
  <c r="F3" i="12" s="1"/>
  <c r="I22" i="10"/>
  <c r="I36" i="10" s="1"/>
  <c r="I51" i="11"/>
  <c r="I7" i="9"/>
  <c r="X92" i="2"/>
  <c r="R92" i="2"/>
  <c r="Y92" i="2"/>
  <c r="H36" i="10"/>
  <c r="F20" i="12" s="1"/>
  <c r="G39" i="9"/>
  <c r="F4" i="12" s="1"/>
  <c r="I50" i="2"/>
  <c r="I92" i="2" s="1"/>
  <c r="H50" i="2"/>
  <c r="H92" i="2" s="1"/>
  <c r="T85" i="2"/>
  <c r="S55" i="4"/>
  <c r="F24" i="11"/>
  <c r="D37" i="12" s="1"/>
  <c r="Z50" i="2"/>
  <c r="Z92" i="2" s="1"/>
  <c r="V55" i="4"/>
  <c r="H70" i="10"/>
  <c r="F25" i="12" s="1"/>
  <c r="S39" i="4"/>
  <c r="S40" i="4" s="1"/>
  <c r="H40" i="4"/>
  <c r="H75" i="4" s="1"/>
  <c r="H77" i="4" s="1"/>
  <c r="I11" i="3" s="1"/>
  <c r="G74" i="9"/>
  <c r="F8" i="12" s="1"/>
  <c r="X40" i="4"/>
  <c r="X75" i="4" s="1"/>
  <c r="X77" i="4" s="1"/>
  <c r="Y11" i="3" s="1"/>
  <c r="H39" i="9"/>
  <c r="G4" i="12" s="1"/>
  <c r="G40" i="4"/>
  <c r="G75" i="4" s="1"/>
  <c r="G77" i="4" s="1"/>
  <c r="H11" i="3" s="1"/>
  <c r="H55" i="9"/>
  <c r="G6" i="12" s="1"/>
  <c r="H74" i="9"/>
  <c r="G8" i="12" s="1"/>
  <c r="H19" i="9"/>
  <c r="W40" i="4"/>
  <c r="W75" i="4" s="1"/>
  <c r="W77" i="4" s="1"/>
  <c r="X11" i="3" s="1"/>
  <c r="X12" i="3" s="1"/>
  <c r="X16" i="3" s="1"/>
  <c r="X58" i="3" s="1"/>
  <c r="F74" i="9"/>
  <c r="E8" i="12" s="1"/>
  <c r="W36" i="2"/>
  <c r="W50" i="2" s="1"/>
  <c r="F21" i="12"/>
  <c r="T50" i="2"/>
  <c r="U50" i="2"/>
  <c r="U92" i="2" s="1"/>
  <c r="W70" i="2"/>
  <c r="W85" i="2" s="1"/>
  <c r="V92" i="2"/>
  <c r="G55" i="9"/>
  <c r="F6" i="12" s="1"/>
  <c r="I40" i="4"/>
  <c r="I75" i="4" s="1"/>
  <c r="I77" i="4" s="1"/>
  <c r="J11" i="3" s="1"/>
  <c r="F55" i="9"/>
  <c r="E6" i="12" s="1"/>
  <c r="W47" i="3"/>
  <c r="I70" i="10"/>
  <c r="G25" i="12" s="1"/>
  <c r="V39" i="4"/>
  <c r="V19" i="4"/>
  <c r="U40" i="4"/>
  <c r="U75" i="4" s="1"/>
  <c r="U77" i="4" s="1"/>
  <c r="V11" i="3" s="1"/>
  <c r="V12" i="3" s="1"/>
  <c r="V16" i="3" s="1"/>
  <c r="V58" i="3" s="1"/>
  <c r="V59" i="3" s="1"/>
  <c r="T40" i="4"/>
  <c r="T75" i="4" s="1"/>
  <c r="T77" i="4" s="1"/>
  <c r="U11" i="3" s="1"/>
  <c r="U12" i="3" s="1"/>
  <c r="U16" i="3" s="1"/>
  <c r="U58" i="3" s="1"/>
  <c r="Q40" i="4"/>
  <c r="Q75" i="4" s="1"/>
  <c r="Q77" i="4" s="1"/>
  <c r="R11" i="3" s="1"/>
  <c r="R12" i="3" s="1"/>
  <c r="R16" i="3" s="1"/>
  <c r="R58" i="3" s="1"/>
  <c r="R40" i="4"/>
  <c r="R75" i="4" s="1"/>
  <c r="R77" i="4" s="1"/>
  <c r="S11" i="3" s="1"/>
  <c r="S12" i="3" s="1"/>
  <c r="S16" i="3" s="1"/>
  <c r="S58" i="3" s="1"/>
  <c r="S59" i="3" s="1"/>
  <c r="F5" i="12" l="1"/>
  <c r="F9" i="12" s="1"/>
  <c r="U59" i="3"/>
  <c r="T92" i="2"/>
  <c r="S75" i="4"/>
  <c r="S77" i="4" s="1"/>
  <c r="T11" i="3" s="1"/>
  <c r="T12" i="3" s="1"/>
  <c r="T16" i="3" s="1"/>
  <c r="T58" i="3" s="1"/>
  <c r="T59" i="3" s="1"/>
  <c r="X59" i="3"/>
  <c r="G20" i="12"/>
  <c r="I50" i="10"/>
  <c r="G22" i="12" s="1"/>
  <c r="H85" i="10"/>
  <c r="F28" i="12" s="1"/>
  <c r="G40" i="9"/>
  <c r="R59" i="3"/>
  <c r="Y12" i="3"/>
  <c r="Y16" i="3" s="1"/>
  <c r="Y58" i="3" s="1"/>
  <c r="Y59" i="3" s="1"/>
  <c r="J11" i="11"/>
  <c r="H50" i="10"/>
  <c r="F22" i="12" s="1"/>
  <c r="J49" i="9"/>
  <c r="H75" i="9"/>
  <c r="H77" i="9" s="1"/>
  <c r="G11" i="12" s="1"/>
  <c r="H40" i="9"/>
  <c r="G75" i="9"/>
  <c r="G77" i="9" s="1"/>
  <c r="F11" i="12" s="1"/>
  <c r="G3" i="12"/>
  <c r="G5" i="12" s="1"/>
  <c r="G9" i="12" s="1"/>
  <c r="H12" i="3"/>
  <c r="H16" i="3" s="1"/>
  <c r="H58" i="3" s="1"/>
  <c r="H59" i="3" s="1"/>
  <c r="J12" i="3"/>
  <c r="J16" i="3" s="1"/>
  <c r="J58" i="3" s="1"/>
  <c r="I85" i="10"/>
  <c r="G28" i="12" s="1"/>
  <c r="W92" i="2"/>
  <c r="V40" i="4"/>
  <c r="V75" i="4" s="1"/>
  <c r="V77" i="4" s="1"/>
  <c r="W11" i="3" s="1"/>
  <c r="I12" i="3"/>
  <c r="I16" i="3" s="1"/>
  <c r="I58" i="3" s="1"/>
  <c r="I59" i="3" s="1"/>
  <c r="D10" i="12"/>
  <c r="H11" i="11" l="1"/>
  <c r="H12" i="11" s="1"/>
  <c r="H16" i="11" s="1"/>
  <c r="F35" i="12" s="1"/>
  <c r="H92" i="10"/>
  <c r="F30" i="12" s="1"/>
  <c r="I92" i="10"/>
  <c r="G30" i="12" s="1"/>
  <c r="W12" i="3"/>
  <c r="W16" i="3" s="1"/>
  <c r="W58" i="3" s="1"/>
  <c r="W59" i="3" s="1"/>
  <c r="AC52" i="3"/>
  <c r="AC51" i="3" s="1"/>
  <c r="AC42" i="3"/>
  <c r="AC36" i="3"/>
  <c r="AC29" i="3"/>
  <c r="AC27" i="3"/>
  <c r="AC24" i="3"/>
  <c r="AC5" i="3"/>
  <c r="Q52" i="3"/>
  <c r="Q51" i="3" s="1"/>
  <c r="Q57" i="3" s="1"/>
  <c r="Q42" i="3"/>
  <c r="Q36" i="3"/>
  <c r="Q29" i="3"/>
  <c r="Q27" i="3"/>
  <c r="Q24" i="3"/>
  <c r="Q5" i="3"/>
  <c r="N52" i="3"/>
  <c r="N51" i="3" s="1"/>
  <c r="N57" i="3" s="1"/>
  <c r="N42" i="3"/>
  <c r="N36" i="3"/>
  <c r="N29" i="3"/>
  <c r="N27" i="3"/>
  <c r="N24" i="3"/>
  <c r="N5" i="3"/>
  <c r="AC90" i="2"/>
  <c r="AC78" i="2"/>
  <c r="AC84" i="2" s="1"/>
  <c r="AC75" i="2"/>
  <c r="AC66" i="2"/>
  <c r="AC60" i="2"/>
  <c r="AC56" i="2"/>
  <c r="AC54" i="2"/>
  <c r="AC43" i="2"/>
  <c r="AC39" i="2"/>
  <c r="AC22" i="2"/>
  <c r="AC17" i="2"/>
  <c r="AC14" i="2"/>
  <c r="AC4" i="2"/>
  <c r="Q90" i="2"/>
  <c r="Q78" i="2"/>
  <c r="Q75" i="2"/>
  <c r="Q66" i="2"/>
  <c r="Q60" i="2"/>
  <c r="Q56" i="2"/>
  <c r="Q54" i="2"/>
  <c r="Q43" i="2"/>
  <c r="Q39" i="2"/>
  <c r="Q22" i="2"/>
  <c r="Q17" i="2"/>
  <c r="Q14" i="2"/>
  <c r="Q4" i="2"/>
  <c r="N90" i="2"/>
  <c r="N78" i="2"/>
  <c r="N75" i="2"/>
  <c r="N66" i="2"/>
  <c r="N60" i="2"/>
  <c r="N56" i="2"/>
  <c r="N54" i="2"/>
  <c r="N43" i="2"/>
  <c r="N39" i="2"/>
  <c r="N22" i="2"/>
  <c r="N17" i="2"/>
  <c r="N14" i="2"/>
  <c r="N4" i="2"/>
  <c r="P73" i="4"/>
  <c r="P67" i="4"/>
  <c r="P59" i="4"/>
  <c r="P54" i="4"/>
  <c r="P49" i="4"/>
  <c r="P30" i="4"/>
  <c r="P25" i="4"/>
  <c r="P11" i="4"/>
  <c r="P7" i="4"/>
  <c r="M73" i="4"/>
  <c r="M67" i="4"/>
  <c r="M59" i="4"/>
  <c r="M54" i="4"/>
  <c r="M49" i="4"/>
  <c r="M30" i="4"/>
  <c r="M25" i="4"/>
  <c r="M11" i="4"/>
  <c r="M7" i="4"/>
  <c r="J7" i="4"/>
  <c r="H58" i="11" l="1"/>
  <c r="F41" i="12" s="1"/>
  <c r="Q84" i="2"/>
  <c r="N84" i="2"/>
  <c r="AC57" i="3"/>
  <c r="Q70" i="2"/>
  <c r="AC36" i="2"/>
  <c r="N49" i="2"/>
  <c r="P39" i="4"/>
  <c r="M19" i="4"/>
  <c r="P19" i="4"/>
  <c r="AC47" i="3"/>
  <c r="M74" i="4"/>
  <c r="M55" i="4"/>
  <c r="P74" i="4"/>
  <c r="Q47" i="3"/>
  <c r="M39" i="4"/>
  <c r="P55" i="4"/>
  <c r="AC49" i="2"/>
  <c r="N47" i="3"/>
  <c r="N36" i="2"/>
  <c r="AC70" i="2"/>
  <c r="AC85" i="2" s="1"/>
  <c r="Q36" i="2"/>
  <c r="N70" i="2"/>
  <c r="Q49" i="2"/>
  <c r="H36" i="12"/>
  <c r="C36" i="12"/>
  <c r="Q85" i="2" l="1"/>
  <c r="N85" i="2"/>
  <c r="AC50" i="2"/>
  <c r="AC92" i="2" s="1"/>
  <c r="P40" i="4"/>
  <c r="P75" i="4" s="1"/>
  <c r="P77" i="4" s="1"/>
  <c r="Q11" i="3" s="1"/>
  <c r="N50" i="2"/>
  <c r="M40" i="4"/>
  <c r="M75" i="4" s="1"/>
  <c r="M77" i="4" s="1"/>
  <c r="N11" i="3" s="1"/>
  <c r="Q50" i="2"/>
  <c r="C10" i="12"/>
  <c r="Q92" i="2" l="1"/>
  <c r="N92" i="2"/>
  <c r="AB5" i="3"/>
  <c r="D49" i="4"/>
  <c r="L23" i="11"/>
  <c r="L18" i="11"/>
  <c r="E27" i="11"/>
  <c r="C38" i="12" s="1"/>
  <c r="K54" i="10"/>
  <c r="I24" i="12" s="1"/>
  <c r="K4" i="10"/>
  <c r="I17" i="12" s="1"/>
  <c r="G75" i="10"/>
  <c r="E26" i="12" s="1"/>
  <c r="G54" i="10"/>
  <c r="E24" i="12" s="1"/>
  <c r="G14" i="10"/>
  <c r="E19" i="12" s="1"/>
  <c r="G4" i="10"/>
  <c r="E17" i="12" s="1"/>
  <c r="F54" i="10"/>
  <c r="D24" i="12" s="1"/>
  <c r="F4" i="10"/>
  <c r="D17" i="12" s="1"/>
  <c r="E54" i="10"/>
  <c r="C24" i="12" s="1"/>
  <c r="L45" i="10"/>
  <c r="L32" i="10"/>
  <c r="L24" i="10"/>
  <c r="L19" i="10"/>
  <c r="E4" i="10"/>
  <c r="C17" i="12" s="1"/>
  <c r="K27" i="11"/>
  <c r="I38" i="12" s="1"/>
  <c r="I27" i="11"/>
  <c r="G38" i="12" s="1"/>
  <c r="K90" i="10"/>
  <c r="I29" i="12" s="1"/>
  <c r="H12" i="12"/>
  <c r="D73" i="9"/>
  <c r="D67" i="9"/>
  <c r="D59" i="9"/>
  <c r="C7" i="12" s="1"/>
  <c r="D54" i="9"/>
  <c r="I10" i="12"/>
  <c r="H10" i="12"/>
  <c r="K64" i="9"/>
  <c r="K57" i="9"/>
  <c r="C12" i="12"/>
  <c r="K14" i="9"/>
  <c r="K13" i="9"/>
  <c r="K10" i="9"/>
  <c r="L81" i="10" l="1"/>
  <c r="E90" i="10"/>
  <c r="C29" i="12" s="1"/>
  <c r="F90" i="10"/>
  <c r="D29" i="12" s="1"/>
  <c r="E75" i="10"/>
  <c r="C26" i="12" s="1"/>
  <c r="L23" i="10"/>
  <c r="L64" i="10"/>
  <c r="F75" i="10"/>
  <c r="D26" i="12" s="1"/>
  <c r="L29" i="10"/>
  <c r="L41" i="10"/>
  <c r="L67" i="10"/>
  <c r="G90" i="10"/>
  <c r="E29" i="12" s="1"/>
  <c r="K14" i="10"/>
  <c r="I19" i="12" s="1"/>
  <c r="L25" i="10"/>
  <c r="L33" i="10"/>
  <c r="L46" i="10"/>
  <c r="L62" i="10"/>
  <c r="L88" i="10"/>
  <c r="L65" i="10"/>
  <c r="L80" i="10"/>
  <c r="L12" i="10"/>
  <c r="L57" i="10"/>
  <c r="L13" i="10"/>
  <c r="L21" i="10"/>
  <c r="L42" i="10"/>
  <c r="L58" i="10"/>
  <c r="L68" i="10"/>
  <c r="L74" i="10"/>
  <c r="K75" i="10"/>
  <c r="I26" i="12" s="1"/>
  <c r="L3" i="10"/>
  <c r="L4" i="10" s="1"/>
  <c r="J17" i="12" s="1"/>
  <c r="L27" i="10"/>
  <c r="L31" i="10"/>
  <c r="L35" i="10"/>
  <c r="L82" i="10"/>
  <c r="L89" i="10"/>
  <c r="L79" i="10"/>
  <c r="L83" i="10"/>
  <c r="L61" i="10"/>
  <c r="L59" i="10"/>
  <c r="L53" i="10"/>
  <c r="L54" i="10" s="1"/>
  <c r="J24" i="12" s="1"/>
  <c r="L47" i="10"/>
  <c r="L44" i="10"/>
  <c r="L48" i="10"/>
  <c r="L40" i="10"/>
  <c r="L18" i="10"/>
  <c r="L26" i="10"/>
  <c r="L30" i="10"/>
  <c r="L34" i="10"/>
  <c r="L20" i="10"/>
  <c r="L28" i="10"/>
  <c r="L10" i="10"/>
  <c r="F14" i="10"/>
  <c r="D19" i="12" s="1"/>
  <c r="L7" i="10"/>
  <c r="L11" i="10"/>
  <c r="L8" i="10"/>
  <c r="L9" i="10"/>
  <c r="J59" i="9"/>
  <c r="I7" i="12" s="1"/>
  <c r="K22" i="9"/>
  <c r="K27" i="9"/>
  <c r="J54" i="9"/>
  <c r="K58" i="9"/>
  <c r="K59" i="9" s="1"/>
  <c r="J7" i="12" s="1"/>
  <c r="E73" i="9"/>
  <c r="K23" i="9"/>
  <c r="K24" i="9"/>
  <c r="K33" i="9"/>
  <c r="K34" i="9"/>
  <c r="K37" i="9"/>
  <c r="K52" i="9"/>
  <c r="K26" i="9"/>
  <c r="K28" i="9"/>
  <c r="K31" i="9"/>
  <c r="K35" i="9"/>
  <c r="E67" i="9"/>
  <c r="J67" i="9"/>
  <c r="K66" i="9"/>
  <c r="I73" i="9"/>
  <c r="K70" i="9"/>
  <c r="K72" i="9"/>
  <c r="K29" i="9"/>
  <c r="K71" i="9"/>
  <c r="K6" i="9"/>
  <c r="K32" i="9"/>
  <c r="K36" i="9"/>
  <c r="K47" i="9"/>
  <c r="K48" i="9"/>
  <c r="E54" i="9"/>
  <c r="K63" i="9"/>
  <c r="I67" i="9"/>
  <c r="K65" i="9"/>
  <c r="K76" i="9"/>
  <c r="J10" i="12" s="1"/>
  <c r="K69" i="9"/>
  <c r="J73" i="9"/>
  <c r="D74" i="9"/>
  <c r="C8" i="12" s="1"/>
  <c r="K62" i="9"/>
  <c r="I59" i="9"/>
  <c r="H7" i="12" s="1"/>
  <c r="E59" i="9"/>
  <c r="D7" i="12" s="1"/>
  <c r="K53" i="9"/>
  <c r="K46" i="9"/>
  <c r="K38" i="9"/>
  <c r="K9" i="9"/>
  <c r="K5" i="9"/>
  <c r="L63" i="10"/>
  <c r="K17" i="9"/>
  <c r="K18" i="9"/>
  <c r="I54" i="9"/>
  <c r="L69" i="10"/>
  <c r="D55" i="9"/>
  <c r="C6" i="12" s="1"/>
  <c r="K24" i="11"/>
  <c r="I37" i="12" s="1"/>
  <c r="E24" i="11"/>
  <c r="C37" i="12" s="1"/>
  <c r="L73" i="10"/>
  <c r="E14" i="10"/>
  <c r="C19" i="12" s="1"/>
  <c r="K15" i="9"/>
  <c r="K8" i="9"/>
  <c r="K12" i="9"/>
  <c r="K16" i="9"/>
  <c r="L75" i="10" l="1"/>
  <c r="J26" i="12" s="1"/>
  <c r="E74" i="9"/>
  <c r="D8" i="12" s="1"/>
  <c r="L90" i="10"/>
  <c r="J29" i="12" s="1"/>
  <c r="I74" i="9"/>
  <c r="H8" i="12" s="1"/>
  <c r="J55" i="9"/>
  <c r="I6" i="12" s="1"/>
  <c r="K54" i="9"/>
  <c r="L14" i="10"/>
  <c r="J19" i="12" s="1"/>
  <c r="K73" i="9"/>
  <c r="E55" i="9"/>
  <c r="D6" i="12" s="1"/>
  <c r="J74" i="9"/>
  <c r="I8" i="12" s="1"/>
  <c r="K67" i="9"/>
  <c r="K74" i="9" l="1"/>
  <c r="J8" i="12" s="1"/>
  <c r="G15" i="3"/>
  <c r="I24" i="11" l="1"/>
  <c r="G37" i="12" s="1"/>
  <c r="L34" i="11" l="1"/>
  <c r="AB90" i="2" l="1"/>
  <c r="AA90" i="2"/>
  <c r="P90" i="2"/>
  <c r="O90" i="2"/>
  <c r="M90" i="2"/>
  <c r="L90" i="2"/>
  <c r="K90" i="2"/>
  <c r="J90" i="2"/>
  <c r="F90" i="2"/>
  <c r="E90" i="2"/>
  <c r="AB78" i="2"/>
  <c r="AB84" i="2" s="1"/>
  <c r="AA78" i="2"/>
  <c r="AA84" i="2" s="1"/>
  <c r="P78" i="2"/>
  <c r="G78" i="10" s="1"/>
  <c r="O78" i="2"/>
  <c r="O84" i="2" s="1"/>
  <c r="M78" i="2"/>
  <c r="M84" i="2" s="1"/>
  <c r="L78" i="2"/>
  <c r="L84" i="2" s="1"/>
  <c r="K78" i="2"/>
  <c r="J78" i="2"/>
  <c r="F78" i="2"/>
  <c r="F78" i="10" s="1"/>
  <c r="E78" i="2"/>
  <c r="E78" i="10" s="1"/>
  <c r="AB75" i="2"/>
  <c r="AA75" i="2"/>
  <c r="P75" i="2"/>
  <c r="O75" i="2"/>
  <c r="M75" i="2"/>
  <c r="L75" i="2"/>
  <c r="K75" i="2"/>
  <c r="J75" i="2"/>
  <c r="F75" i="2"/>
  <c r="E75" i="2"/>
  <c r="AB66" i="2"/>
  <c r="AA66" i="2"/>
  <c r="P66" i="2"/>
  <c r="G66" i="10" s="1"/>
  <c r="O66" i="2"/>
  <c r="M66" i="2"/>
  <c r="F66" i="10" s="1"/>
  <c r="L66" i="2"/>
  <c r="K66" i="10"/>
  <c r="J66" i="2"/>
  <c r="J66" i="10" s="1"/>
  <c r="AB60" i="2"/>
  <c r="AA60" i="2"/>
  <c r="P60" i="2"/>
  <c r="G60" i="10" s="1"/>
  <c r="O60" i="2"/>
  <c r="M60" i="2"/>
  <c r="L60" i="2"/>
  <c r="K60" i="2"/>
  <c r="K60" i="10" s="1"/>
  <c r="J60" i="2"/>
  <c r="J60" i="10" s="1"/>
  <c r="F60" i="2"/>
  <c r="F60" i="10" s="1"/>
  <c r="AB56" i="2"/>
  <c r="AA56" i="2"/>
  <c r="P56" i="2"/>
  <c r="G56" i="10" s="1"/>
  <c r="O56" i="2"/>
  <c r="M56" i="2"/>
  <c r="L56" i="2"/>
  <c r="K56" i="2"/>
  <c r="K56" i="10" s="1"/>
  <c r="J56" i="2"/>
  <c r="J56" i="10" s="1"/>
  <c r="F56" i="2"/>
  <c r="F56" i="10" s="1"/>
  <c r="E56" i="2"/>
  <c r="AB54" i="2"/>
  <c r="AA54" i="2"/>
  <c r="P54" i="2"/>
  <c r="O54" i="2"/>
  <c r="M54" i="2"/>
  <c r="L54" i="2"/>
  <c r="K54" i="2"/>
  <c r="J54" i="2"/>
  <c r="F54" i="2"/>
  <c r="E54" i="2"/>
  <c r="AB43" i="2"/>
  <c r="AA43" i="2"/>
  <c r="P43" i="2"/>
  <c r="G43" i="10" s="1"/>
  <c r="O43" i="2"/>
  <c r="M43" i="2"/>
  <c r="F43" i="10" s="1"/>
  <c r="L43" i="2"/>
  <c r="K43" i="2"/>
  <c r="J43" i="2"/>
  <c r="J43" i="10" s="1"/>
  <c r="E43" i="2"/>
  <c r="AB39" i="2"/>
  <c r="AA39" i="2"/>
  <c r="P39" i="2"/>
  <c r="G39" i="10" s="1"/>
  <c r="O39" i="2"/>
  <c r="M39" i="2"/>
  <c r="L39" i="2"/>
  <c r="K39" i="2"/>
  <c r="K39" i="10" s="1"/>
  <c r="J39" i="2"/>
  <c r="J39" i="10" s="1"/>
  <c r="F39" i="2"/>
  <c r="F39" i="10" s="1"/>
  <c r="E39" i="2"/>
  <c r="AB22" i="2"/>
  <c r="AA22" i="2"/>
  <c r="P22" i="2"/>
  <c r="G22" i="10" s="1"/>
  <c r="O22" i="2"/>
  <c r="M22" i="2"/>
  <c r="L22" i="2"/>
  <c r="K22" i="2"/>
  <c r="K22" i="10" s="1"/>
  <c r="J22" i="2"/>
  <c r="J22" i="10" s="1"/>
  <c r="F22" i="2"/>
  <c r="F22" i="10" s="1"/>
  <c r="E22" i="2"/>
  <c r="AB17" i="2"/>
  <c r="AA17" i="2"/>
  <c r="P17" i="2"/>
  <c r="G17" i="10" s="1"/>
  <c r="O17" i="2"/>
  <c r="M17" i="2"/>
  <c r="L17" i="2"/>
  <c r="K17" i="2"/>
  <c r="J17" i="2"/>
  <c r="J17" i="10" s="1"/>
  <c r="F17" i="2"/>
  <c r="F17" i="10" s="1"/>
  <c r="E17" i="2"/>
  <c r="E14" i="2"/>
  <c r="AB42" i="3"/>
  <c r="P42" i="3"/>
  <c r="O42" i="3"/>
  <c r="M42" i="3"/>
  <c r="L42" i="3"/>
  <c r="K42" i="3"/>
  <c r="K42" i="11" s="1"/>
  <c r="G42" i="3"/>
  <c r="G42" i="11" s="1"/>
  <c r="F42" i="3"/>
  <c r="F42" i="11" s="1"/>
  <c r="E42" i="3"/>
  <c r="AB36" i="3"/>
  <c r="AA36" i="3"/>
  <c r="P36" i="3"/>
  <c r="M36" i="3"/>
  <c r="L36" i="3"/>
  <c r="K36" i="3"/>
  <c r="G36" i="3"/>
  <c r="G36" i="11" s="1"/>
  <c r="F36" i="3"/>
  <c r="F36" i="11" s="1"/>
  <c r="E36" i="3"/>
  <c r="AB29" i="3"/>
  <c r="AA29" i="3"/>
  <c r="P29" i="3"/>
  <c r="O29" i="3"/>
  <c r="M29" i="3"/>
  <c r="L29" i="3"/>
  <c r="K29" i="3"/>
  <c r="K29" i="11" s="1"/>
  <c r="G29" i="3"/>
  <c r="F29" i="3"/>
  <c r="F29" i="11" s="1"/>
  <c r="AB27" i="3"/>
  <c r="AA27" i="3"/>
  <c r="P27" i="3"/>
  <c r="O27" i="3"/>
  <c r="M27" i="3"/>
  <c r="L27" i="3"/>
  <c r="K27" i="3"/>
  <c r="G27" i="3"/>
  <c r="F27" i="3"/>
  <c r="E27" i="3"/>
  <c r="AB24" i="3"/>
  <c r="AA24" i="3"/>
  <c r="P24" i="3"/>
  <c r="O24" i="3"/>
  <c r="M24" i="3"/>
  <c r="L24" i="3"/>
  <c r="K24" i="3"/>
  <c r="G24" i="3"/>
  <c r="F24" i="3"/>
  <c r="E24" i="3"/>
  <c r="AA5" i="3"/>
  <c r="P5" i="3"/>
  <c r="O5" i="3"/>
  <c r="M5" i="3"/>
  <c r="L5" i="3"/>
  <c r="K5" i="3"/>
  <c r="K5" i="11" s="1"/>
  <c r="G5" i="3"/>
  <c r="F5" i="3"/>
  <c r="F5" i="11" l="1"/>
  <c r="G29" i="11"/>
  <c r="G47" i="11" s="1"/>
  <c r="E39" i="12" s="1"/>
  <c r="G5" i="11"/>
  <c r="J78" i="10"/>
  <c r="J84" i="10" s="1"/>
  <c r="H27" i="12" s="1"/>
  <c r="E42" i="11"/>
  <c r="E17" i="10"/>
  <c r="J70" i="10"/>
  <c r="H25" i="12" s="1"/>
  <c r="J49" i="10"/>
  <c r="H21" i="12" s="1"/>
  <c r="E36" i="11"/>
  <c r="E39" i="10"/>
  <c r="J36" i="10"/>
  <c r="H20" i="12" s="1"/>
  <c r="E22" i="10"/>
  <c r="E43" i="10"/>
  <c r="E56" i="10"/>
  <c r="P84" i="2"/>
  <c r="F47" i="11"/>
  <c r="D39" i="12" s="1"/>
  <c r="G70" i="10"/>
  <c r="E25" i="12" s="1"/>
  <c r="K36" i="10"/>
  <c r="K84" i="2"/>
  <c r="K84" i="10"/>
  <c r="I27" i="12" s="1"/>
  <c r="E84" i="2"/>
  <c r="J84" i="2"/>
  <c r="G84" i="10"/>
  <c r="E27" i="12" s="1"/>
  <c r="P36" i="2"/>
  <c r="L36" i="2"/>
  <c r="AA36" i="2"/>
  <c r="P49" i="2"/>
  <c r="L70" i="2"/>
  <c r="L85" i="2" s="1"/>
  <c r="AA70" i="2"/>
  <c r="AA85" i="2" s="1"/>
  <c r="L49" i="2"/>
  <c r="AA49" i="2"/>
  <c r="M49" i="2"/>
  <c r="AB49" i="2"/>
  <c r="F84" i="10"/>
  <c r="D27" i="12" s="1"/>
  <c r="I47" i="11"/>
  <c r="G39" i="12" s="1"/>
  <c r="F84" i="2"/>
  <c r="M70" i="2"/>
  <c r="M85" i="2" s="1"/>
  <c r="AB70" i="2"/>
  <c r="AB85" i="2" s="1"/>
  <c r="O70" i="2"/>
  <c r="O85" i="2" s="1"/>
  <c r="K70" i="2"/>
  <c r="P70" i="2"/>
  <c r="F70" i="2"/>
  <c r="J70" i="2"/>
  <c r="J49" i="2"/>
  <c r="O49" i="2"/>
  <c r="F49" i="2"/>
  <c r="K49" i="2"/>
  <c r="E49" i="2"/>
  <c r="F36" i="2"/>
  <c r="M36" i="2"/>
  <c r="AB36" i="2"/>
  <c r="E36" i="2"/>
  <c r="J36" i="2"/>
  <c r="O36" i="2"/>
  <c r="K36" i="2"/>
  <c r="J85" i="10" l="1"/>
  <c r="H28" i="12" s="1"/>
  <c r="J50" i="10"/>
  <c r="H22" i="12" s="1"/>
  <c r="P85" i="2"/>
  <c r="K49" i="10"/>
  <c r="I21" i="12" s="1"/>
  <c r="J85" i="2"/>
  <c r="K85" i="2"/>
  <c r="F70" i="10"/>
  <c r="K47" i="11"/>
  <c r="I39" i="12" s="1"/>
  <c r="E36" i="10"/>
  <c r="C20" i="12" s="1"/>
  <c r="F36" i="10"/>
  <c r="D20" i="12" s="1"/>
  <c r="F49" i="10"/>
  <c r="D21" i="12" s="1"/>
  <c r="L43" i="10"/>
  <c r="L56" i="10"/>
  <c r="F85" i="2"/>
  <c r="E84" i="10"/>
  <c r="C27" i="12" s="1"/>
  <c r="L78" i="10"/>
  <c r="L84" i="10" s="1"/>
  <c r="J27" i="12" s="1"/>
  <c r="K70" i="10"/>
  <c r="I25" i="12" s="1"/>
  <c r="G85" i="10"/>
  <c r="E28" i="12" s="1"/>
  <c r="E49" i="10"/>
  <c r="C21" i="12" s="1"/>
  <c r="E50" i="2"/>
  <c r="L39" i="10"/>
  <c r="G49" i="10"/>
  <c r="E21" i="12" s="1"/>
  <c r="I20" i="12"/>
  <c r="L17" i="10"/>
  <c r="E4" i="2"/>
  <c r="F47" i="3"/>
  <c r="G47" i="3"/>
  <c r="K47" i="3"/>
  <c r="M47" i="3"/>
  <c r="O47" i="3"/>
  <c r="P47" i="3"/>
  <c r="AA47" i="3"/>
  <c r="AB47" i="3"/>
  <c r="F14" i="2"/>
  <c r="F50" i="2" s="1"/>
  <c r="J14" i="2"/>
  <c r="J50" i="2" s="1"/>
  <c r="K14" i="2"/>
  <c r="K50" i="2" s="1"/>
  <c r="L14" i="2"/>
  <c r="L50" i="2" s="1"/>
  <c r="M14" i="2"/>
  <c r="M50" i="2" s="1"/>
  <c r="O14" i="2"/>
  <c r="O50" i="2" s="1"/>
  <c r="O92" i="2" s="1"/>
  <c r="P14" i="2"/>
  <c r="P50" i="2" s="1"/>
  <c r="AA14" i="2"/>
  <c r="AA50" i="2" s="1"/>
  <c r="AA92" i="2" s="1"/>
  <c r="AB14" i="2"/>
  <c r="AB50" i="2" s="1"/>
  <c r="L54" i="11"/>
  <c r="AB52" i="3"/>
  <c r="AB51" i="3" s="1"/>
  <c r="AB57" i="3" s="1"/>
  <c r="AA52" i="3"/>
  <c r="AA51" i="3" s="1"/>
  <c r="AA57" i="3" s="1"/>
  <c r="P52" i="3"/>
  <c r="P51" i="3" s="1"/>
  <c r="P57" i="3" s="1"/>
  <c r="O52" i="3"/>
  <c r="O51" i="3" s="1"/>
  <c r="O57" i="3" s="1"/>
  <c r="M52" i="3"/>
  <c r="M51" i="3" s="1"/>
  <c r="M57" i="3" s="1"/>
  <c r="L52" i="3"/>
  <c r="L51" i="3" s="1"/>
  <c r="L57" i="3" s="1"/>
  <c r="K52" i="3"/>
  <c r="G52" i="3"/>
  <c r="G52" i="11" s="1"/>
  <c r="F52" i="3"/>
  <c r="F52" i="11" s="1"/>
  <c r="L43" i="11"/>
  <c r="L37" i="11"/>
  <c r="L30" i="11"/>
  <c r="L19" i="11"/>
  <c r="L10" i="11"/>
  <c r="L9" i="11"/>
  <c r="L8" i="11"/>
  <c r="L7" i="11"/>
  <c r="L6" i="11"/>
  <c r="L4" i="11"/>
  <c r="K50" i="10" l="1"/>
  <c r="I22" i="12" s="1"/>
  <c r="J92" i="10"/>
  <c r="H30" i="12" s="1"/>
  <c r="P92" i="2"/>
  <c r="F85" i="10"/>
  <c r="D28" i="12" s="1"/>
  <c r="D25" i="12"/>
  <c r="G51" i="3"/>
  <c r="G51" i="11" s="1"/>
  <c r="L49" i="10"/>
  <c r="J21" i="12" s="1"/>
  <c r="F50" i="10"/>
  <c r="D22" i="12" s="1"/>
  <c r="K85" i="10"/>
  <c r="I28" i="12" s="1"/>
  <c r="E50" i="10"/>
  <c r="C22" i="12" s="1"/>
  <c r="L20" i="11"/>
  <c r="L31" i="11"/>
  <c r="L40" i="11"/>
  <c r="L45" i="11"/>
  <c r="K51" i="3"/>
  <c r="L55" i="11"/>
  <c r="L21" i="11"/>
  <c r="L32" i="11"/>
  <c r="L41" i="11"/>
  <c r="L46" i="11"/>
  <c r="L56" i="11"/>
  <c r="L33" i="11"/>
  <c r="L38" i="11"/>
  <c r="L53" i="11"/>
  <c r="J27" i="11"/>
  <c r="H38" i="12" s="1"/>
  <c r="L26" i="11"/>
  <c r="L27" i="11" s="1"/>
  <c r="J38" i="12" s="1"/>
  <c r="L39" i="11"/>
  <c r="L44" i="11"/>
  <c r="AJ27" i="3"/>
  <c r="L36" i="11"/>
  <c r="L42" i="11"/>
  <c r="F51" i="3"/>
  <c r="F51" i="11" s="1"/>
  <c r="G57" i="3" l="1"/>
  <c r="F57" i="11"/>
  <c r="D40" i="12" s="1"/>
  <c r="G57" i="11"/>
  <c r="E40" i="12" s="1"/>
  <c r="I57" i="11"/>
  <c r="G40" i="12" s="1"/>
  <c r="AJ42" i="3"/>
  <c r="K92" i="10"/>
  <c r="I30" i="12" s="1"/>
  <c r="F92" i="10"/>
  <c r="D30" i="12" s="1"/>
  <c r="AJ24" i="3"/>
  <c r="AJ36" i="3"/>
  <c r="AJ29" i="3"/>
  <c r="J47" i="11"/>
  <c r="H39" i="12" s="1"/>
  <c r="L35" i="11"/>
  <c r="J24" i="11"/>
  <c r="H37" i="12" s="1"/>
  <c r="L22" i="11"/>
  <c r="L24" i="11" s="1"/>
  <c r="J37" i="12" s="1"/>
  <c r="J57" i="11"/>
  <c r="H40" i="12" s="1"/>
  <c r="L50" i="11"/>
  <c r="K57" i="3"/>
  <c r="K57" i="11"/>
  <c r="I40" i="12" s="1"/>
  <c r="AJ5" i="3"/>
  <c r="F57" i="3"/>
  <c r="AJ54" i="2"/>
  <c r="AJ78" i="2" l="1"/>
  <c r="AJ84" i="2" s="1"/>
  <c r="AJ90" i="2"/>
  <c r="AJ75" i="2"/>
  <c r="AJ66" i="2"/>
  <c r="AJ60" i="2"/>
  <c r="AJ56" i="2"/>
  <c r="AJ43" i="2"/>
  <c r="AJ17" i="2"/>
  <c r="AJ14" i="2"/>
  <c r="AI49" i="4"/>
  <c r="AI59" i="4"/>
  <c r="AI54" i="4"/>
  <c r="K45" i="9"/>
  <c r="K49" i="9" s="1"/>
  <c r="AI73" i="4"/>
  <c r="AI67" i="4"/>
  <c r="AJ47" i="3"/>
  <c r="L47" i="3"/>
  <c r="AJ39" i="2"/>
  <c r="AJ22" i="2"/>
  <c r="J30" i="4"/>
  <c r="J25" i="4"/>
  <c r="J11" i="4"/>
  <c r="AJ70" i="2" l="1"/>
  <c r="AJ85" i="2" s="1"/>
  <c r="AJ36" i="2"/>
  <c r="AJ49" i="2"/>
  <c r="AI55" i="4"/>
  <c r="I55" i="9"/>
  <c r="H6" i="12" s="1"/>
  <c r="K44" i="9"/>
  <c r="K55" i="9" s="1"/>
  <c r="J6" i="12" s="1"/>
  <c r="AI74" i="4"/>
  <c r="J39" i="4"/>
  <c r="J19" i="4"/>
  <c r="AJ50" i="2" l="1"/>
  <c r="G36" i="10"/>
  <c r="E20" i="12" s="1"/>
  <c r="L22" i="10"/>
  <c r="L36" i="10" s="1"/>
  <c r="K11" i="4"/>
  <c r="AA25" i="4"/>
  <c r="J25" i="9" s="1"/>
  <c r="Z25" i="4"/>
  <c r="O25" i="4"/>
  <c r="N25" i="4"/>
  <c r="L25" i="4"/>
  <c r="K25" i="4"/>
  <c r="F25" i="4"/>
  <c r="F25" i="9" s="1"/>
  <c r="E25" i="4"/>
  <c r="E25" i="9" s="1"/>
  <c r="AA30" i="4"/>
  <c r="J30" i="9" s="1"/>
  <c r="Z30" i="4"/>
  <c r="O30" i="4"/>
  <c r="F30" i="9" s="1"/>
  <c r="N30" i="4"/>
  <c r="L30" i="4"/>
  <c r="K30" i="4"/>
  <c r="AA11" i="4"/>
  <c r="J11" i="9" s="1"/>
  <c r="Z11" i="4"/>
  <c r="O11" i="4"/>
  <c r="N11" i="4"/>
  <c r="L11" i="4"/>
  <c r="F11" i="4"/>
  <c r="AA7" i="4"/>
  <c r="J7" i="9" s="1"/>
  <c r="Z7" i="4"/>
  <c r="O7" i="4"/>
  <c r="N7" i="4"/>
  <c r="L7" i="4"/>
  <c r="K7" i="4"/>
  <c r="F7" i="4"/>
  <c r="F7" i="9" s="1"/>
  <c r="E7" i="4"/>
  <c r="E7" i="9" s="1"/>
  <c r="E30" i="4"/>
  <c r="E30" i="9" s="1"/>
  <c r="E11" i="4"/>
  <c r="D73" i="4"/>
  <c r="D67" i="4"/>
  <c r="D25" i="4"/>
  <c r="D11" i="4"/>
  <c r="D7" i="4"/>
  <c r="F11" i="9" l="1"/>
  <c r="D7" i="9"/>
  <c r="E11" i="9"/>
  <c r="AI25" i="4"/>
  <c r="AI7" i="4"/>
  <c r="AI30" i="4"/>
  <c r="AI11" i="4"/>
  <c r="D11" i="9"/>
  <c r="F39" i="9"/>
  <c r="E4" i="12" s="1"/>
  <c r="D25" i="9"/>
  <c r="D30" i="9"/>
  <c r="K30" i="9" s="1"/>
  <c r="E39" i="9"/>
  <c r="D4" i="12" s="1"/>
  <c r="K19" i="4"/>
  <c r="J20" i="12"/>
  <c r="L50" i="10"/>
  <c r="G50" i="10"/>
  <c r="E22" i="12" s="1"/>
  <c r="O39" i="4"/>
  <c r="D74" i="4"/>
  <c r="L39" i="4"/>
  <c r="D39" i="4"/>
  <c r="AA39" i="4"/>
  <c r="J39" i="9"/>
  <c r="I4" i="12" s="1"/>
  <c r="E39" i="4"/>
  <c r="L19" i="4"/>
  <c r="Z19" i="4"/>
  <c r="D19" i="4"/>
  <c r="AA19" i="4"/>
  <c r="E19" i="4"/>
  <c r="F19" i="4"/>
  <c r="O19" i="4"/>
  <c r="F39" i="4"/>
  <c r="N19" i="4"/>
  <c r="K39" i="4"/>
  <c r="Z39" i="4"/>
  <c r="N39" i="4"/>
  <c r="M4" i="2"/>
  <c r="M92" i="2" s="1"/>
  <c r="F19" i="9" l="1"/>
  <c r="E3" i="12" s="1"/>
  <c r="E5" i="12" s="1"/>
  <c r="E9" i="12" s="1"/>
  <c r="E19" i="9"/>
  <c r="D3" i="12" s="1"/>
  <c r="D5" i="12" s="1"/>
  <c r="D9" i="12" s="1"/>
  <c r="J19" i="9"/>
  <c r="J40" i="9" s="1"/>
  <c r="J22" i="12"/>
  <c r="G92" i="10"/>
  <c r="E30" i="12" s="1"/>
  <c r="I39" i="9"/>
  <c r="H4" i="12" s="1"/>
  <c r="K25" i="9"/>
  <c r="K39" i="9" s="1"/>
  <c r="J4" i="12" s="1"/>
  <c r="D39" i="9"/>
  <c r="C4" i="12" s="1"/>
  <c r="I19" i="9"/>
  <c r="K7" i="9"/>
  <c r="D19" i="9"/>
  <c r="C3" i="12" s="1"/>
  <c r="K11" i="9"/>
  <c r="AI19" i="4"/>
  <c r="AB19" i="4"/>
  <c r="AB39" i="4"/>
  <c r="F40" i="9" l="1"/>
  <c r="F75" i="9"/>
  <c r="F77" i="9" s="1"/>
  <c r="E11" i="12" s="1"/>
  <c r="E75" i="9"/>
  <c r="E77" i="9" s="1"/>
  <c r="D11" i="12" s="1"/>
  <c r="E40" i="9"/>
  <c r="J75" i="9"/>
  <c r="J77" i="9" s="1"/>
  <c r="I11" i="12" s="1"/>
  <c r="I3" i="12"/>
  <c r="I5" i="12" s="1"/>
  <c r="I9" i="12" s="1"/>
  <c r="H3" i="12"/>
  <c r="H5" i="12" s="1"/>
  <c r="H9" i="12" s="1"/>
  <c r="I40" i="9"/>
  <c r="K19" i="9"/>
  <c r="J3" i="12" s="1"/>
  <c r="J5" i="12" s="1"/>
  <c r="J9" i="12" s="1"/>
  <c r="AI39" i="4"/>
  <c r="AI40" i="4" s="1"/>
  <c r="AI75" i="4" s="1"/>
  <c r="AI77" i="4" s="1"/>
  <c r="I75" i="9"/>
  <c r="I77" i="9" s="1"/>
  <c r="H11" i="12" s="1"/>
  <c r="C5" i="12"/>
  <c r="C9" i="12" s="1"/>
  <c r="D40" i="9"/>
  <c r="D75" i="9"/>
  <c r="D77" i="9" s="1"/>
  <c r="C11" i="12" s="1"/>
  <c r="E52" i="3"/>
  <c r="E29" i="3"/>
  <c r="E29" i="11" s="1"/>
  <c r="E5" i="3"/>
  <c r="E5" i="11" s="1"/>
  <c r="E66" i="10"/>
  <c r="E60" i="2"/>
  <c r="E60" i="10" s="1"/>
  <c r="E52" i="11" l="1"/>
  <c r="L52" i="11" s="1"/>
  <c r="AJ52" i="3"/>
  <c r="L5" i="11"/>
  <c r="L66" i="10"/>
  <c r="E70" i="2"/>
  <c r="E85" i="2" s="1"/>
  <c r="E92" i="2" s="1"/>
  <c r="K75" i="9"/>
  <c r="K77" i="9" s="1"/>
  <c r="J11" i="12" s="1"/>
  <c r="K40" i="9"/>
  <c r="E47" i="3"/>
  <c r="E51" i="3"/>
  <c r="O73" i="4"/>
  <c r="Z73" i="4"/>
  <c r="AA73" i="4"/>
  <c r="O67" i="4"/>
  <c r="Z67" i="4"/>
  <c r="AA67" i="4"/>
  <c r="O59" i="4"/>
  <c r="Z59" i="4"/>
  <c r="AA59" i="4"/>
  <c r="O54" i="4"/>
  <c r="Z54" i="4"/>
  <c r="AA54" i="4"/>
  <c r="O49" i="4"/>
  <c r="Z49" i="4"/>
  <c r="AA49" i="4"/>
  <c r="O40" i="4"/>
  <c r="AB40" i="4"/>
  <c r="AB4" i="2"/>
  <c r="AB92" i="2" s="1"/>
  <c r="L4" i="2"/>
  <c r="L92" i="2" s="1"/>
  <c r="K4" i="2"/>
  <c r="K92" i="2" s="1"/>
  <c r="J4" i="2"/>
  <c r="J92" i="2" s="1"/>
  <c r="J59" i="3" s="1"/>
  <c r="F4" i="2"/>
  <c r="AB73" i="4"/>
  <c r="N73" i="4"/>
  <c r="L73" i="4"/>
  <c r="K73" i="4"/>
  <c r="J73" i="4"/>
  <c r="F73" i="4"/>
  <c r="E73" i="4"/>
  <c r="AB67" i="4"/>
  <c r="N67" i="4"/>
  <c r="L67" i="4"/>
  <c r="K67" i="4"/>
  <c r="J67" i="4"/>
  <c r="F67" i="4"/>
  <c r="E67" i="4"/>
  <c r="AB59" i="4"/>
  <c r="N59" i="4"/>
  <c r="L59" i="4"/>
  <c r="K59" i="4"/>
  <c r="J59" i="4"/>
  <c r="F59" i="4"/>
  <c r="E59" i="4"/>
  <c r="D59" i="4"/>
  <c r="AB54" i="4"/>
  <c r="N54" i="4"/>
  <c r="L54" i="4"/>
  <c r="K54" i="4"/>
  <c r="J54" i="4"/>
  <c r="F54" i="4"/>
  <c r="E54" i="4"/>
  <c r="D54" i="4"/>
  <c r="AB49" i="4"/>
  <c r="N49" i="4"/>
  <c r="L49" i="4"/>
  <c r="K49" i="4"/>
  <c r="J49" i="4"/>
  <c r="F49" i="4"/>
  <c r="E49" i="4"/>
  <c r="F40" i="4"/>
  <c r="D40" i="4"/>
  <c r="E15" i="3"/>
  <c r="F92" i="2" l="1"/>
  <c r="AJ4" i="2"/>
  <c r="AJ92" i="2" s="1"/>
  <c r="E51" i="11"/>
  <c r="L51" i="11" s="1"/>
  <c r="L57" i="11" s="1"/>
  <c r="J40" i="12" s="1"/>
  <c r="AJ51" i="3"/>
  <c r="AJ57" i="3" s="1"/>
  <c r="K74" i="4"/>
  <c r="O74" i="4"/>
  <c r="Z55" i="4"/>
  <c r="AA74" i="4"/>
  <c r="L60" i="10"/>
  <c r="L70" i="10" s="1"/>
  <c r="E70" i="10"/>
  <c r="AA55" i="4"/>
  <c r="O55" i="4"/>
  <c r="Z74" i="4"/>
  <c r="L29" i="11"/>
  <c r="L47" i="11" s="1"/>
  <c r="J39" i="12" s="1"/>
  <c r="E47" i="11"/>
  <c r="C39" i="12" s="1"/>
  <c r="E57" i="3"/>
  <c r="Z40" i="4"/>
  <c r="AA40" i="4"/>
  <c r="F74" i="4"/>
  <c r="N74" i="4"/>
  <c r="D55" i="4"/>
  <c r="D75" i="4" s="1"/>
  <c r="D77" i="4" s="1"/>
  <c r="L74" i="4"/>
  <c r="L40" i="4"/>
  <c r="E55" i="4"/>
  <c r="N40" i="4"/>
  <c r="E40" i="4"/>
  <c r="K40" i="4"/>
  <c r="J40" i="4"/>
  <c r="L55" i="4"/>
  <c r="E74" i="4"/>
  <c r="K55" i="4"/>
  <c r="J55" i="4"/>
  <c r="AB55" i="4"/>
  <c r="F55" i="4"/>
  <c r="J74" i="4"/>
  <c r="AB74" i="4"/>
  <c r="N55" i="4"/>
  <c r="O75" i="4" l="1"/>
  <c r="O77" i="4" s="1"/>
  <c r="P11" i="3" s="1"/>
  <c r="P12" i="3" s="1"/>
  <c r="P16" i="3" s="1"/>
  <c r="P58" i="3" s="1"/>
  <c r="P59" i="3" s="1"/>
  <c r="E57" i="11"/>
  <c r="C40" i="12" s="1"/>
  <c r="AA75" i="4"/>
  <c r="AA77" i="4" s="1"/>
  <c r="AB11" i="3" s="1"/>
  <c r="AB12" i="3" s="1"/>
  <c r="AB16" i="3" s="1"/>
  <c r="AB58" i="3" s="1"/>
  <c r="AB59" i="3" s="1"/>
  <c r="Q12" i="3"/>
  <c r="Q16" i="3" s="1"/>
  <c r="Q58" i="3" s="1"/>
  <c r="Q59" i="3" s="1"/>
  <c r="Z75" i="4"/>
  <c r="Z77" i="4" s="1"/>
  <c r="AA11" i="3" s="1"/>
  <c r="AA12" i="3" s="1"/>
  <c r="AA16" i="3" s="1"/>
  <c r="AA58" i="3" s="1"/>
  <c r="AA59" i="3" s="1"/>
  <c r="E85" i="10"/>
  <c r="C25" i="12"/>
  <c r="L85" i="10"/>
  <c r="J25" i="12"/>
  <c r="AB75" i="4"/>
  <c r="AB77" i="4" s="1"/>
  <c r="AC11" i="3" s="1"/>
  <c r="F75" i="4"/>
  <c r="F77" i="4" s="1"/>
  <c r="G11" i="3" s="1"/>
  <c r="K75" i="4"/>
  <c r="K77" i="4" s="1"/>
  <c r="L11" i="3" s="1"/>
  <c r="L75" i="4"/>
  <c r="L77" i="4" s="1"/>
  <c r="N75" i="4"/>
  <c r="N77" i="4" s="1"/>
  <c r="O11" i="3" s="1"/>
  <c r="E75" i="4"/>
  <c r="E77" i="4" s="1"/>
  <c r="F11" i="3" s="1"/>
  <c r="J75" i="4"/>
  <c r="J77" i="4" s="1"/>
  <c r="E11" i="3"/>
  <c r="G11" i="11" l="1"/>
  <c r="G12" i="11" s="1"/>
  <c r="G16" i="11" s="1"/>
  <c r="E11" i="11"/>
  <c r="AC12" i="3"/>
  <c r="AC16" i="3" s="1"/>
  <c r="AC58" i="3" s="1"/>
  <c r="AC59" i="3" s="1"/>
  <c r="J12" i="11"/>
  <c r="J16" i="11" s="1"/>
  <c r="J58" i="11" s="1"/>
  <c r="H41" i="12" s="1"/>
  <c r="M11" i="3"/>
  <c r="F11" i="11" s="1"/>
  <c r="N12" i="3"/>
  <c r="N16" i="3" s="1"/>
  <c r="J28" i="12"/>
  <c r="L92" i="10"/>
  <c r="J30" i="12" s="1"/>
  <c r="C28" i="12"/>
  <c r="E92" i="10"/>
  <c r="C30" i="12" s="1"/>
  <c r="K11" i="3"/>
  <c r="K11" i="11" s="1"/>
  <c r="I12" i="12"/>
  <c r="E12" i="3"/>
  <c r="E16" i="3" s="1"/>
  <c r="E58" i="3" s="1"/>
  <c r="E59" i="3" s="1"/>
  <c r="L12" i="3"/>
  <c r="L16" i="3" s="1"/>
  <c r="L58" i="3" s="1"/>
  <c r="L59" i="3" s="1"/>
  <c r="G12" i="3"/>
  <c r="O12" i="3"/>
  <c r="O16" i="3" s="1"/>
  <c r="O58" i="3" s="1"/>
  <c r="O59" i="3" s="1"/>
  <c r="G58" i="11" l="1"/>
  <c r="E41" i="12" s="1"/>
  <c r="E35" i="12"/>
  <c r="M12" i="3"/>
  <c r="M16" i="3" s="1"/>
  <c r="M58" i="3" s="1"/>
  <c r="M59" i="3" s="1"/>
  <c r="N58" i="3"/>
  <c r="N59" i="3" s="1"/>
  <c r="K12" i="11"/>
  <c r="K16" i="11" s="1"/>
  <c r="K15" i="3"/>
  <c r="AJ15" i="3" s="1"/>
  <c r="H35" i="12"/>
  <c r="K12" i="3"/>
  <c r="K16" i="3" s="1"/>
  <c r="K58" i="3" s="1"/>
  <c r="K59" i="3" s="1"/>
  <c r="I36" i="12"/>
  <c r="E12" i="11"/>
  <c r="E16" i="11" s="1"/>
  <c r="F12" i="3"/>
  <c r="F16" i="3" s="1"/>
  <c r="G16" i="3"/>
  <c r="G58" i="3" s="1"/>
  <c r="G59" i="3" s="1"/>
  <c r="F58" i="3" l="1"/>
  <c r="F59" i="3" s="1"/>
  <c r="K58" i="11"/>
  <c r="I41" i="12" s="1"/>
  <c r="I35" i="12"/>
  <c r="K78" i="9"/>
  <c r="J12" i="12" s="1"/>
  <c r="E58" i="11"/>
  <c r="C41" i="12" s="1"/>
  <c r="C35" i="12"/>
  <c r="G36" i="12" l="1"/>
  <c r="J36" i="12"/>
  <c r="AG40" i="4" l="1"/>
  <c r="AG75" i="4" s="1"/>
  <c r="AG77" i="4" s="1"/>
  <c r="AH11" i="3" s="1"/>
  <c r="I11" i="11" s="1"/>
  <c r="I12" i="11" s="1"/>
  <c r="I16" i="11" s="1"/>
  <c r="G35" i="12" l="1"/>
  <c r="I58" i="11"/>
  <c r="G41" i="12" s="1"/>
  <c r="AH12" i="3"/>
  <c r="AH16" i="3" s="1"/>
  <c r="AH58" i="3" s="1"/>
  <c r="AH59" i="3" s="1"/>
  <c r="AJ11" i="3"/>
  <c r="AJ12" i="3" s="1"/>
  <c r="AJ16" i="3" s="1"/>
  <c r="AJ58" i="3" s="1"/>
  <c r="AJ59" i="3" s="1"/>
  <c r="L11" i="11" l="1"/>
  <c r="L12" i="11" s="1"/>
  <c r="L16" i="11" s="1"/>
  <c r="F12" i="11"/>
  <c r="F16" i="11" s="1"/>
  <c r="L58" i="11" l="1"/>
  <c r="J35" i="12"/>
  <c r="F58" i="11"/>
  <c r="D41" i="12" s="1"/>
  <c r="D35" i="12"/>
  <c r="L59" i="11" l="1"/>
  <c r="J41" i="12"/>
</calcChain>
</file>

<file path=xl/comments1.xml><?xml version="1.0" encoding="utf-8"?>
<comments xmlns="http://schemas.openxmlformats.org/spreadsheetml/2006/main">
  <authors>
    <author>Beatrice Tiezzi</author>
  </authors>
  <commentList>
    <comment ref="O13" authorId="0">
      <text>
        <r>
          <rPr>
            <b/>
            <sz val="9"/>
            <color indexed="81"/>
            <rFont val="Tahoma"/>
            <charset val="1"/>
          </rPr>
          <t>Beatrice Tiezzi:</t>
        </r>
        <r>
          <rPr>
            <sz val="9"/>
            <color indexed="81"/>
            <rFont val="Tahoma"/>
            <charset val="1"/>
          </rPr>
          <t xml:space="preserve">
di cui € 47.584,62 dofferenza da valore di partecipazione
</t>
        </r>
      </text>
    </comment>
  </commentList>
</comments>
</file>

<file path=xl/sharedStrings.xml><?xml version="1.0" encoding="utf-8"?>
<sst xmlns="http://schemas.openxmlformats.org/spreadsheetml/2006/main" count="752" uniqueCount="252">
  <si>
    <t xml:space="preserve"> </t>
  </si>
  <si>
    <t>Totale</t>
  </si>
  <si>
    <t>A) PATRIMONIO NETTO</t>
  </si>
  <si>
    <t>TOTALE DEL PASSIVO</t>
  </si>
  <si>
    <t>Incrementi di immobilizzazioni per lavori interni</t>
  </si>
  <si>
    <t>Variazioni nelle rimanenze di prodotti in corso di lavorazione, etc. (+/-)</t>
  </si>
  <si>
    <t xml:space="preserve"> Acquisto di materie prime e/o beni di consumo</t>
  </si>
  <si>
    <t>Svalutazione dei crediti</t>
  </si>
  <si>
    <t>Variazioni nelle rimanenze di materie prime e/o beni di consumo (+/-)</t>
  </si>
  <si>
    <t>Oneri diversi di gestione</t>
  </si>
  <si>
    <t>C) PROVENTI ED ONERI FINANZIARI</t>
  </si>
  <si>
    <t>Proventi da partecipazioni</t>
  </si>
  <si>
    <t>Altri proventi finanziari</t>
  </si>
  <si>
    <t>Interessi ed altri oneri finanziari</t>
  </si>
  <si>
    <t xml:space="preserve">totale (C) </t>
  </si>
  <si>
    <t>D) RETTIFICHE DI VALORE ATTIVITA' FINANZIARIE</t>
  </si>
  <si>
    <t xml:space="preserve">Rivalutazioni </t>
  </si>
  <si>
    <t>Svalutazioni</t>
  </si>
  <si>
    <t>totale ( D)</t>
  </si>
  <si>
    <t>Plusvalenze patrimoniali</t>
  </si>
  <si>
    <t>Minusvalenze patrimoniali</t>
  </si>
  <si>
    <t xml:space="preserve">Altri oneri straordinari </t>
  </si>
  <si>
    <t>altre</t>
  </si>
  <si>
    <t>Impianti e macchinari</t>
  </si>
  <si>
    <t>Altri titoli</t>
  </si>
  <si>
    <t xml:space="preserve">Partecipazioni in </t>
  </si>
  <si>
    <t>Crediti verso</t>
  </si>
  <si>
    <t>Istituto tesoriere</t>
  </si>
  <si>
    <t xml:space="preserve">TOTALE DELL'ATTIVO </t>
  </si>
  <si>
    <t>a</t>
  </si>
  <si>
    <t>b</t>
  </si>
  <si>
    <t>c</t>
  </si>
  <si>
    <t>d</t>
  </si>
  <si>
    <t>e</t>
  </si>
  <si>
    <t>Personale</t>
  </si>
  <si>
    <t>Ammortamenti e svalutazioni</t>
  </si>
  <si>
    <t>Altre svalutazioni delle immobilizzazioni</t>
  </si>
  <si>
    <t>Altri accantonamenti</t>
  </si>
  <si>
    <t>totale proventi</t>
  </si>
  <si>
    <t xml:space="preserve">totale oneri </t>
  </si>
  <si>
    <t>Totale (E) (E20-E21)</t>
  </si>
  <si>
    <t>I</t>
  </si>
  <si>
    <t>II</t>
  </si>
  <si>
    <t>B) FONDI PER RISCHI ED ONERI</t>
  </si>
  <si>
    <t>III</t>
  </si>
  <si>
    <t>IV</t>
  </si>
  <si>
    <t>D) RATEI E RISCONTI</t>
  </si>
  <si>
    <t xml:space="preserve">Ratei passivi </t>
  </si>
  <si>
    <t>Risconti passivi</t>
  </si>
  <si>
    <t>TOTALE FONDI RISCHI ED ONERI (B)</t>
  </si>
  <si>
    <t>A) COMPONENTI POSITIVI DELLA GESTIONE</t>
  </si>
  <si>
    <t>B) COMPONENTI NEGATIVI DELLA GESTIONE</t>
  </si>
  <si>
    <t>totale componenti positivi della gestione A)</t>
  </si>
  <si>
    <t>DIFFERENZA FRA COMP. POSITIVI E NEGATIVI DELLA GESTIONE ( A-B)</t>
  </si>
  <si>
    <t>immobilizzazioni in corso ed acconti</t>
  </si>
  <si>
    <t>Risultato economico dell'esercizio</t>
  </si>
  <si>
    <t>Concessioni pluriennali</t>
  </si>
  <si>
    <t>Altri risconti passivi</t>
  </si>
  <si>
    <t xml:space="preserve"> Immobilizzazioni immateriali</t>
  </si>
  <si>
    <t>Rimanenze</t>
  </si>
  <si>
    <t>ATTIVITA' FINANZIARIE CHE NON COSTITUISCONO IMMOBILIZZI</t>
  </si>
  <si>
    <t>DISPONIBILITA' LIQUIDE</t>
  </si>
  <si>
    <t>altri</t>
  </si>
  <si>
    <t xml:space="preserve">Ratei attivi </t>
  </si>
  <si>
    <t>Risconti attivi</t>
  </si>
  <si>
    <t>Immobilizzazioni Finanziarie (1)</t>
  </si>
  <si>
    <t>Crediti       (2)</t>
  </si>
  <si>
    <t>Ricavi delle vendite e prestazioni e proventi da servizi pubblici</t>
  </si>
  <si>
    <t>Sopravvenienze attive e insussistenze del passivo</t>
  </si>
  <si>
    <t>TOTALE IMMOBILIZZAZIONI (B)</t>
  </si>
  <si>
    <t>costi di impianto e di ampliamento</t>
  </si>
  <si>
    <t>costi di ricerca sviluppo e pubblicità</t>
  </si>
  <si>
    <t>diritti di brevetto ed utilizzazione opere dell'ingegno</t>
  </si>
  <si>
    <t>concessioni, licenze, marchi e diritti simile</t>
  </si>
  <si>
    <t>avviamento</t>
  </si>
  <si>
    <t>Attrezzature industriali e commerciali</t>
  </si>
  <si>
    <t>TOTALE ATTIVO CIRCOLANTE (C)</t>
  </si>
  <si>
    <t>TOTALE RATEI E RISCONTI  D)</t>
  </si>
  <si>
    <t>Verso clienti ed utenti</t>
  </si>
  <si>
    <t>partecipazioni</t>
  </si>
  <si>
    <t>altri titoli</t>
  </si>
  <si>
    <t>per trattamento di quiescenza</t>
  </si>
  <si>
    <t>C)TRATTAMENTO DI FINE RAPPORTO</t>
  </si>
  <si>
    <t>verso banche e tesoriere</t>
  </si>
  <si>
    <t>verso altri finanziatori</t>
  </si>
  <si>
    <t>TOTALE DEBITI ( D)</t>
  </si>
  <si>
    <t>TOTALE RATEI E RISCONTI (E)</t>
  </si>
  <si>
    <t>Variazione dei lavori in corso su ordinazione</t>
  </si>
  <si>
    <t>imprese controllate</t>
  </si>
  <si>
    <t>Immobilizzazioni in corso ed acconti</t>
  </si>
  <si>
    <t>Beni demaniali</t>
  </si>
  <si>
    <t>Immobilizzazioni materiali (3)</t>
  </si>
  <si>
    <t>Fondo di dotazione</t>
  </si>
  <si>
    <t xml:space="preserve">Riserve </t>
  </si>
  <si>
    <t>da capitale</t>
  </si>
  <si>
    <t>Conto di tesoreria</t>
  </si>
  <si>
    <t>Altri depositi bancari e postali</t>
  </si>
  <si>
    <t>verso amministrazioni pubbliche</t>
  </si>
  <si>
    <t>Altri proventi straordinari</t>
  </si>
  <si>
    <t>Proventi da tributi</t>
  </si>
  <si>
    <t>Trasferimenti correnti</t>
  </si>
  <si>
    <t>altri soggetti</t>
  </si>
  <si>
    <t>da altri soggetti</t>
  </si>
  <si>
    <t>da società partecipate</t>
  </si>
  <si>
    <t>imprese partecipate</t>
  </si>
  <si>
    <t>altre amministrazioni pubbliche</t>
  </si>
  <si>
    <t>Crediti di natura tributaria</t>
  </si>
  <si>
    <t>verso altri soggetti</t>
  </si>
  <si>
    <t xml:space="preserve">a </t>
  </si>
  <si>
    <t>Debiti da finanziamento</t>
  </si>
  <si>
    <t>v/ altre amministrazioni pubbliche</t>
  </si>
  <si>
    <t>Debiti verso fornitori</t>
  </si>
  <si>
    <t>Acconti</t>
  </si>
  <si>
    <t xml:space="preserve">Proventi da fondi perequativi </t>
  </si>
  <si>
    <t>Quota annuale di contributi agli investimenti</t>
  </si>
  <si>
    <t>Proventi da trasferimenti e contributi</t>
  </si>
  <si>
    <t>Trasferimenti e contributi</t>
  </si>
  <si>
    <t>Contributi agli investimenti ad altri soggetti</t>
  </si>
  <si>
    <t>Altri ricavi e proventi diversi</t>
  </si>
  <si>
    <t>Proventi finanziari</t>
  </si>
  <si>
    <t>Totale proventi finanziari</t>
  </si>
  <si>
    <t>Oneri finanziari</t>
  </si>
  <si>
    <t>Totale oneri finanziari</t>
  </si>
  <si>
    <t>Proventi da trasferimenti in conto capitale</t>
  </si>
  <si>
    <t>Proventi straordinari</t>
  </si>
  <si>
    <t>Oneri straordinari</t>
  </si>
  <si>
    <t>Trasferimenti in conto capitale</t>
  </si>
  <si>
    <t>Sopravvenienze passive e insussistenze dell'attivo</t>
  </si>
  <si>
    <t>Ammortamenti di immobilizzazioni materiali</t>
  </si>
  <si>
    <t>Ammortamenti di immobilizzazioni Immateriali</t>
  </si>
  <si>
    <t>Accantonamenti per rischi</t>
  </si>
  <si>
    <t>Altre immobilizzazioni materiali (3)</t>
  </si>
  <si>
    <t xml:space="preserve">Terreni </t>
  </si>
  <si>
    <t>Fabbricati</t>
  </si>
  <si>
    <t>Terreni</t>
  </si>
  <si>
    <t>Altri beni demaniali</t>
  </si>
  <si>
    <t>Macchine per ufficio e hardware</t>
  </si>
  <si>
    <t>Mobili e arredi</t>
  </si>
  <si>
    <t>Altri beni materiali</t>
  </si>
  <si>
    <t xml:space="preserve">Mezzi di trasporto </t>
  </si>
  <si>
    <t>di cui in leasing finanziario</t>
  </si>
  <si>
    <t>Crediti da Fondi perequativi</t>
  </si>
  <si>
    <t>Crediti per trasferimenti e contributi</t>
  </si>
  <si>
    <t>verso l'erario</t>
  </si>
  <si>
    <t>per attività svolta per c/terzi</t>
  </si>
  <si>
    <t>da permessi di costruire</t>
  </si>
  <si>
    <t>Debiti per trasferimenti e contributi</t>
  </si>
  <si>
    <t>tributari</t>
  </si>
  <si>
    <t>verso istituti di previdenza e sicurezza sociale</t>
  </si>
  <si>
    <t>Crediti da tributi destinati al finanziamento della sanità</t>
  </si>
  <si>
    <t>Altri crediti da tributi</t>
  </si>
  <si>
    <t>Imposte (*)</t>
  </si>
  <si>
    <t xml:space="preserve">Prestazioni di servizi </t>
  </si>
  <si>
    <t>da società controllate</t>
  </si>
  <si>
    <t xml:space="preserve">altri soggetti </t>
  </si>
  <si>
    <t xml:space="preserve">Altri Crediti </t>
  </si>
  <si>
    <t>presso Banca d'Italia</t>
  </si>
  <si>
    <t>per imposte</t>
  </si>
  <si>
    <t xml:space="preserve">altri debiti </t>
  </si>
  <si>
    <t>prestiti obbligazionari</t>
  </si>
  <si>
    <t>TOTALE T.F.R. (C)</t>
  </si>
  <si>
    <t>Proventi derivanti dalla gestione dei beni</t>
  </si>
  <si>
    <t>CONTO ECONOMICO  CONSOLIDATO</t>
  </si>
  <si>
    <t>STATO PATRIMONIALE CONSOLIDATO (ATTIVO)</t>
  </si>
  <si>
    <t>STATO PATRIMONIALE CONSOLIDATO (PASSIVO)</t>
  </si>
  <si>
    <t>fondo  di consolidamento per rischi e oneri futuri</t>
  </si>
  <si>
    <t>E) PROVENTI  ED ONERI STRAORDINARI</t>
  </si>
  <si>
    <t>Interessi passivi</t>
  </si>
  <si>
    <t>Altri oneri finanziari</t>
  </si>
  <si>
    <t>Fondo di dotazione e riserve di pertinenza di terzi</t>
  </si>
  <si>
    <t>Risultato economico dell'esercizio di pertinenza di terzi</t>
  </si>
  <si>
    <t>Patrimonio netto di pertinenza di terzi</t>
  </si>
  <si>
    <t>Patrimonio netto comprensivo della quota di pertinenza di terzi</t>
  </si>
  <si>
    <t>A) CREDITI vs.LO STATO ED ALTRE AMMINISTRAZIONI PUBBLICHE PER LA PARTECIPAZIONE AL FONDO DI DOTAZIONE</t>
  </si>
  <si>
    <t>TOTALE CREDITI vs PARTECIPANTI (A)</t>
  </si>
  <si>
    <t>B) IMMOBILIZZAZIONI</t>
  </si>
  <si>
    <t>Totale immobilizzazioni immateriali</t>
  </si>
  <si>
    <t>Infrastrutture</t>
  </si>
  <si>
    <t>Totale immobilizzazioni materiali</t>
  </si>
  <si>
    <t>Totale immobilizzazioni finanziarie</t>
  </si>
  <si>
    <t>C) ATTIVO CIRCOLANTE</t>
  </si>
  <si>
    <t>Totale crediti</t>
  </si>
  <si>
    <t>Totale attività finanziarie che non costituiscono immobilizzi</t>
  </si>
  <si>
    <t>Denaro e valori in cassa</t>
  </si>
  <si>
    <t>Altri conti presso la tesoreria statale intestati all'ente</t>
  </si>
  <si>
    <t>2.99</t>
  </si>
  <si>
    <t>Totale disponibilità liquide</t>
  </si>
  <si>
    <t>da risultato economico di esercizi precedenti</t>
  </si>
  <si>
    <t>enti finanziati dal servizio sanitario nazionale</t>
  </si>
  <si>
    <t>E) RATEI E RISCONTI E CONTRIBUTI AGLI INVESTIMENTI</t>
  </si>
  <si>
    <t xml:space="preserve">totale componenti negativi della gestione B)  </t>
  </si>
  <si>
    <t xml:space="preserve">RISULTATO PRIMA DELLE IMPOSTE  (A-B+-C+-D+-E)  </t>
  </si>
  <si>
    <t>Contributi agli investimenti</t>
  </si>
  <si>
    <t>Contributi agli investimenti ad altre Amministrazioni pubb.</t>
  </si>
  <si>
    <t>1.1</t>
  </si>
  <si>
    <t>1.2</t>
  </si>
  <si>
    <t>1.3</t>
  </si>
  <si>
    <t>1.9</t>
  </si>
  <si>
    <t>2.1</t>
  </si>
  <si>
    <t>2.2</t>
  </si>
  <si>
    <t>2.3</t>
  </si>
  <si>
    <t>2.4</t>
  </si>
  <si>
    <t>2.5</t>
  </si>
  <si>
    <t>2.6</t>
  </si>
  <si>
    <t>2.7</t>
  </si>
  <si>
    <t>2.8</t>
  </si>
  <si>
    <t>Ricavi della vendita di beni</t>
  </si>
  <si>
    <t>Ricavi e proventi dalla prestazione di servizi</t>
  </si>
  <si>
    <t xml:space="preserve">Contributi agli investimenti </t>
  </si>
  <si>
    <t>da altre amministrazioni pubbliche</t>
  </si>
  <si>
    <t>Risultato dell'esercizio di pertinenza di terzi</t>
  </si>
  <si>
    <t>RISULTATO DELL'ESERCIZIO (comprensivo della quota di pertinenza di terzi)</t>
  </si>
  <si>
    <t>riserve indisponibili per beni demaniali e patrimoniali indisponibili e per i beni culturali</t>
  </si>
  <si>
    <t>altre riserve indisponibili</t>
  </si>
  <si>
    <t>Proventi da trasferimenti correnti</t>
  </si>
  <si>
    <t>Utilizzo  beni di terzi</t>
  </si>
  <si>
    <r>
      <t>Proventi da permessi di costruire</t>
    </r>
    <r>
      <rPr>
        <b/>
        <sz val="10"/>
        <rFont val="Calibri"/>
        <family val="2"/>
      </rPr>
      <t xml:space="preserve"> </t>
    </r>
  </si>
  <si>
    <t>imprese  partecipate</t>
  </si>
  <si>
    <t>Bilancio Consolidato</t>
  </si>
  <si>
    <r>
      <t xml:space="preserve">TOTALE PATRIMONIO NETTO (A) </t>
    </r>
    <r>
      <rPr>
        <b/>
        <vertAlign val="superscript"/>
        <sz val="10"/>
        <rFont val="Calibri"/>
        <family val="2"/>
      </rPr>
      <t>(3)</t>
    </r>
  </si>
  <si>
    <r>
      <t xml:space="preserve">D) DEBITI </t>
    </r>
    <r>
      <rPr>
        <b/>
        <u/>
        <vertAlign val="superscript"/>
        <sz val="10"/>
        <rFont val="Calibri"/>
        <family val="2"/>
      </rPr>
      <t>(1)</t>
    </r>
  </si>
  <si>
    <r>
      <t>per attività svolta per c/terzi</t>
    </r>
    <r>
      <rPr>
        <i/>
        <vertAlign val="superscript"/>
        <sz val="10"/>
        <rFont val="Calibri"/>
        <family val="2"/>
      </rPr>
      <t xml:space="preserve"> (2)</t>
    </r>
  </si>
  <si>
    <t>DIFFERENZA FRA COMP. POSITIVI E NEGATIVI DELLA GESTIONE (A-B)</t>
  </si>
  <si>
    <t>Immobilizzazioni immateriali</t>
  </si>
  <si>
    <t>Immobilizzazioni materiali</t>
  </si>
  <si>
    <t>Immobilizzazioni Finanziarie</t>
  </si>
  <si>
    <t>Crediti</t>
  </si>
  <si>
    <t>A) CREDITI vs.LO STATO ED ALTRE AMMINISTRAZIONI PUBBLICHE PER LA   PARTECIPAZIONE AL FONDO DI DOTAZIONE</t>
  </si>
  <si>
    <t>Attivita' finanziarie che non costituiscono immobilizzi</t>
  </si>
  <si>
    <t>Disponibilita' liquide</t>
  </si>
  <si>
    <t>D) DEBITI</t>
  </si>
  <si>
    <r>
      <rPr>
        <b/>
        <sz val="11"/>
        <rFont val="Calibri"/>
        <family val="2"/>
        <scheme val="minor"/>
      </rPr>
      <t>RISULTATO DELL'ESERCIZIO</t>
    </r>
    <r>
      <rPr>
        <b/>
        <sz val="1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(comprensivo della quota di pertinenza di terzi)</t>
    </r>
  </si>
  <si>
    <t>STATO PATRIMONIALE CONSOLIDATO ATTIVO</t>
  </si>
  <si>
    <t>STATO PATRIMONIALE CONSOLIDATO PASSIVO</t>
  </si>
  <si>
    <t>CONTO ECONOMICO CONSOLIDATO</t>
  </si>
  <si>
    <t>COMUNE DI SARROCH</t>
  </si>
  <si>
    <t>ABBANOA</t>
  </si>
  <si>
    <t>CACIP</t>
  </si>
  <si>
    <t>EGAS</t>
  </si>
  <si>
    <t>TECNOCASIC</t>
  </si>
  <si>
    <t>Comune vs Abbanoa</t>
  </si>
  <si>
    <t>Abbanoa vs Comune</t>
  </si>
  <si>
    <t>Rid. Prop. Abbanoa</t>
  </si>
  <si>
    <t>Comune vs Cacip</t>
  </si>
  <si>
    <t>Cacip vs Comune</t>
  </si>
  <si>
    <t>Rid. Prop. Cacip</t>
  </si>
  <si>
    <t>Comune vs Egas</t>
  </si>
  <si>
    <t>Egas vs Comune</t>
  </si>
  <si>
    <t>RGd. Prop. Egas</t>
  </si>
  <si>
    <t>Comune vs Tecnocasic</t>
  </si>
  <si>
    <t>Tecnocasic vs Comune</t>
  </si>
  <si>
    <t>RGd. Prop. Tecnocasic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</si>
</sst>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  <font>
      <b/>
      <u/>
      <vertAlign val="superscript"/>
      <sz val="10"/>
      <name val="Calibri"/>
      <family val="2"/>
    </font>
    <font>
      <i/>
      <vertAlign val="superscript"/>
      <sz val="10"/>
      <name val="Calibri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i/>
      <u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trike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3" fillId="0" borderId="0"/>
    <xf numFmtId="43" fontId="2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589">
    <xf numFmtId="0" fontId="0" fillId="0" borderId="0" xfId="0"/>
    <xf numFmtId="0" fontId="9" fillId="0" borderId="0" xfId="4" applyFont="1" applyFill="1" applyBorder="1"/>
    <xf numFmtId="0" fontId="10" fillId="0" borderId="0" xfId="4" applyFont="1" applyFill="1" applyBorder="1"/>
    <xf numFmtId="0" fontId="11" fillId="0" borderId="0" xfId="0" applyFont="1" applyFill="1"/>
    <xf numFmtId="0" fontId="11" fillId="0" borderId="0" xfId="0" applyFont="1" applyFill="1" applyBorder="1"/>
    <xf numFmtId="4" fontId="11" fillId="0" borderId="1" xfId="0" applyNumberFormat="1" applyFont="1" applyFill="1" applyBorder="1" applyAlignment="1">
      <alignment horizontal="center"/>
    </xf>
    <xf numFmtId="0" fontId="12" fillId="0" borderId="0" xfId="0" applyFont="1" applyFill="1" applyBorder="1"/>
    <xf numFmtId="4" fontId="11" fillId="0" borderId="1" xfId="0" applyNumberFormat="1" applyFont="1" applyFill="1" applyBorder="1"/>
    <xf numFmtId="4" fontId="11" fillId="0" borderId="2" xfId="0" applyNumberFormat="1" applyFont="1" applyFill="1" applyBorder="1"/>
    <xf numFmtId="4" fontId="11" fillId="0" borderId="3" xfId="0" applyNumberFormat="1" applyFont="1" applyFill="1" applyBorder="1"/>
    <xf numFmtId="0" fontId="13" fillId="0" borderId="0" xfId="0" applyFont="1" applyFill="1" applyBorder="1"/>
    <xf numFmtId="0" fontId="13" fillId="0" borderId="0" xfId="4" applyFont="1" applyFill="1" applyBorder="1"/>
    <xf numFmtId="0" fontId="1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right"/>
    </xf>
    <xf numFmtId="4" fontId="14" fillId="0" borderId="4" xfId="3" applyNumberFormat="1" applyFont="1" applyFill="1" applyBorder="1"/>
    <xf numFmtId="4" fontId="14" fillId="0" borderId="5" xfId="3" applyNumberFormat="1" applyFont="1" applyFill="1" applyBorder="1"/>
    <xf numFmtId="4" fontId="11" fillId="0" borderId="3" xfId="3" applyNumberFormat="1" applyFont="1" applyFill="1" applyBorder="1"/>
    <xf numFmtId="4" fontId="11" fillId="0" borderId="2" xfId="3" applyNumberFormat="1" applyFont="1" applyFill="1" applyBorder="1"/>
    <xf numFmtId="0" fontId="11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wrapText="1"/>
    </xf>
    <xf numFmtId="4" fontId="11" fillId="0" borderId="6" xfId="3" applyNumberFormat="1" applyFont="1" applyFill="1" applyBorder="1"/>
    <xf numFmtId="4" fontId="11" fillId="0" borderId="7" xfId="3" applyNumberFormat="1" applyFont="1" applyFill="1" applyBorder="1"/>
    <xf numFmtId="0" fontId="15" fillId="0" borderId="0" xfId="0" applyFont="1" applyFill="1" applyBorder="1"/>
    <xf numFmtId="4" fontId="11" fillId="0" borderId="8" xfId="3" applyNumberFormat="1" applyFont="1" applyFill="1" applyBorder="1"/>
    <xf numFmtId="4" fontId="11" fillId="0" borderId="9" xfId="3" applyNumberFormat="1" applyFont="1" applyFill="1" applyBorder="1"/>
    <xf numFmtId="0" fontId="16" fillId="0" borderId="0" xfId="0" applyFont="1" applyFill="1" applyBorder="1"/>
    <xf numFmtId="4" fontId="11" fillId="0" borderId="10" xfId="3" applyNumberFormat="1" applyFont="1" applyFill="1" applyBorder="1"/>
    <xf numFmtId="4" fontId="11" fillId="0" borderId="11" xfId="3" applyNumberFormat="1" applyFont="1" applyFill="1" applyBorder="1"/>
    <xf numFmtId="4" fontId="14" fillId="0" borderId="3" xfId="3" applyNumberFormat="1" applyFont="1" applyFill="1" applyBorder="1"/>
    <xf numFmtId="4" fontId="14" fillId="0" borderId="2" xfId="3" applyNumberFormat="1" applyFont="1" applyFill="1" applyBorder="1"/>
    <xf numFmtId="0" fontId="11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right"/>
    </xf>
    <xf numFmtId="4" fontId="14" fillId="0" borderId="8" xfId="3" applyNumberFormat="1" applyFont="1" applyFill="1" applyBorder="1"/>
    <xf numFmtId="4" fontId="14" fillId="0" borderId="9" xfId="3" applyNumberFormat="1" applyFont="1" applyFill="1" applyBorder="1"/>
    <xf numFmtId="4" fontId="11" fillId="0" borderId="12" xfId="3" applyNumberFormat="1" applyFont="1" applyFill="1" applyBorder="1"/>
    <xf numFmtId="4" fontId="11" fillId="0" borderId="13" xfId="3" applyNumberFormat="1" applyFont="1" applyFill="1" applyBorder="1"/>
    <xf numFmtId="4" fontId="11" fillId="0" borderId="4" xfId="3" applyNumberFormat="1" applyFont="1" applyFill="1" applyBorder="1"/>
    <xf numFmtId="4" fontId="11" fillId="0" borderId="5" xfId="3" applyNumberFormat="1" applyFont="1" applyFill="1" applyBorder="1"/>
    <xf numFmtId="0" fontId="11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wrapText="1"/>
    </xf>
    <xf numFmtId="4" fontId="11" fillId="0" borderId="14" xfId="3" applyNumberFormat="1" applyFont="1" applyFill="1" applyBorder="1"/>
    <xf numFmtId="4" fontId="11" fillId="0" borderId="15" xfId="3" applyNumberFormat="1" applyFont="1" applyFill="1" applyBorder="1"/>
    <xf numFmtId="0" fontId="14" fillId="0" borderId="16" xfId="0" applyFont="1" applyFill="1" applyBorder="1" applyAlignment="1">
      <alignment wrapText="1"/>
    </xf>
    <xf numFmtId="4" fontId="11" fillId="0" borderId="17" xfId="3" applyNumberFormat="1" applyFont="1" applyFill="1" applyBorder="1"/>
    <xf numFmtId="4" fontId="11" fillId="0" borderId="18" xfId="3" applyNumberFormat="1" applyFont="1" applyFill="1" applyBorder="1"/>
    <xf numFmtId="4" fontId="11" fillId="0" borderId="2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4" fillId="0" borderId="19" xfId="0" applyFont="1" applyFill="1" applyBorder="1" applyAlignment="1">
      <alignment horizontal="right"/>
    </xf>
    <xf numFmtId="0" fontId="14" fillId="0" borderId="20" xfId="0" applyFont="1" applyFill="1" applyBorder="1" applyAlignment="1">
      <alignment horizontal="right"/>
    </xf>
    <xf numFmtId="0" fontId="14" fillId="0" borderId="0" xfId="0" applyFont="1" applyFill="1" applyBorder="1"/>
    <xf numFmtId="0" fontId="18" fillId="0" borderId="16" xfId="0" applyFont="1" applyFill="1" applyBorder="1" applyAlignment="1">
      <alignment horizontal="right"/>
    </xf>
    <xf numFmtId="4" fontId="11" fillId="0" borderId="8" xfId="0" applyNumberFormat="1" applyFont="1" applyFill="1" applyBorder="1"/>
    <xf numFmtId="0" fontId="14" fillId="0" borderId="0" xfId="0" applyFont="1" applyFill="1" applyBorder="1" applyAlignment="1">
      <alignment horizontal="left"/>
    </xf>
    <xf numFmtId="0" fontId="14" fillId="0" borderId="22" xfId="0" applyFont="1" applyFill="1" applyBorder="1" applyAlignment="1">
      <alignment horizontal="right"/>
    </xf>
    <xf numFmtId="0" fontId="14" fillId="0" borderId="16" xfId="0" applyFont="1" applyFill="1" applyBorder="1" applyAlignment="1">
      <alignment horizontal="right"/>
    </xf>
    <xf numFmtId="4" fontId="11" fillId="0" borderId="23" xfId="0" applyNumberFormat="1" applyFont="1" applyFill="1" applyBorder="1"/>
    <xf numFmtId="4" fontId="11" fillId="0" borderId="24" xfId="0" applyNumberFormat="1" applyFont="1" applyFill="1" applyBorder="1"/>
    <xf numFmtId="4" fontId="11" fillId="0" borderId="25" xfId="0" applyNumberFormat="1" applyFont="1" applyFill="1" applyBorder="1"/>
    <xf numFmtId="4" fontId="11" fillId="0" borderId="26" xfId="0" applyNumberFormat="1" applyFont="1" applyFill="1" applyBorder="1"/>
    <xf numFmtId="4" fontId="11" fillId="0" borderId="27" xfId="0" applyNumberFormat="1" applyFont="1" applyFill="1" applyBorder="1"/>
    <xf numFmtId="0" fontId="11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4" fontId="19" fillId="0" borderId="0" xfId="0" applyNumberFormat="1" applyFont="1" applyFill="1"/>
    <xf numFmtId="4" fontId="14" fillId="0" borderId="28" xfId="0" applyNumberFormat="1" applyFont="1" applyFill="1" applyBorder="1"/>
    <xf numFmtId="4" fontId="14" fillId="0" borderId="29" xfId="0" applyNumberFormat="1" applyFont="1" applyFill="1" applyBorder="1"/>
    <xf numFmtId="4" fontId="14" fillId="0" borderId="30" xfId="0" applyNumberFormat="1" applyFont="1" applyFill="1" applyBorder="1"/>
    <xf numFmtId="0" fontId="14" fillId="0" borderId="20" xfId="4" applyFont="1" applyFill="1" applyBorder="1" applyAlignment="1">
      <alignment horizontal="right" wrapText="1"/>
    </xf>
    <xf numFmtId="0" fontId="14" fillId="0" borderId="0" xfId="4" applyFont="1" applyFill="1" applyBorder="1" applyAlignment="1">
      <alignment horizontal="right"/>
    </xf>
    <xf numFmtId="0" fontId="11" fillId="0" borderId="0" xfId="4" applyFont="1" applyFill="1" applyBorder="1" applyAlignment="1">
      <alignment wrapText="1"/>
    </xf>
    <xf numFmtId="0" fontId="11" fillId="0" borderId="0" xfId="4" applyFont="1" applyFill="1" applyBorder="1" applyAlignment="1">
      <alignment horizontal="left"/>
    </xf>
    <xf numFmtId="0" fontId="11" fillId="0" borderId="33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9" fillId="0" borderId="44" xfId="4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center" vertical="center"/>
    </xf>
    <xf numFmtId="4" fontId="11" fillId="0" borderId="0" xfId="0" applyNumberFormat="1" applyFont="1" applyFill="1"/>
    <xf numFmtId="0" fontId="11" fillId="0" borderId="0" xfId="0" applyFont="1" applyFill="1" applyAlignment="1"/>
    <xf numFmtId="0" fontId="11" fillId="0" borderId="43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44" xfId="0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horizontal="right" wrapText="1"/>
    </xf>
    <xf numFmtId="4" fontId="11" fillId="0" borderId="3" xfId="0" applyNumberFormat="1" applyFont="1" applyFill="1" applyBorder="1" applyAlignment="1">
      <alignment horizontal="right" wrapText="1"/>
    </xf>
    <xf numFmtId="4" fontId="14" fillId="0" borderId="8" xfId="2" applyNumberFormat="1" applyFont="1" applyFill="1" applyBorder="1" applyAlignment="1">
      <alignment horizontal="right"/>
    </xf>
    <xf numFmtId="4" fontId="14" fillId="0" borderId="21" xfId="2" applyNumberFormat="1" applyFont="1" applyFill="1" applyBorder="1" applyAlignment="1">
      <alignment horizontal="right"/>
    </xf>
    <xf numFmtId="4" fontId="14" fillId="0" borderId="9" xfId="2" applyNumberFormat="1" applyFont="1" applyFill="1" applyBorder="1" applyAlignment="1">
      <alignment horizontal="right"/>
    </xf>
    <xf numFmtId="0" fontId="14" fillId="0" borderId="0" xfId="4" applyFont="1" applyFill="1" applyBorder="1" applyAlignment="1"/>
    <xf numFmtId="4" fontId="11" fillId="0" borderId="1" xfId="0" applyNumberFormat="1" applyFont="1" applyFill="1" applyBorder="1" applyAlignment="1">
      <alignment horizontal="right"/>
    </xf>
    <xf numFmtId="4" fontId="11" fillId="0" borderId="3" xfId="0" applyNumberFormat="1" applyFont="1" applyFill="1" applyBorder="1" applyAlignment="1">
      <alignment horizontal="right"/>
    </xf>
    <xf numFmtId="0" fontId="16" fillId="0" borderId="0" xfId="0" applyFont="1" applyFill="1" applyBorder="1" applyAlignment="1"/>
    <xf numFmtId="0" fontId="11" fillId="0" borderId="0" xfId="0" applyFont="1" applyFill="1" applyBorder="1" applyAlignment="1"/>
    <xf numFmtId="0" fontId="11" fillId="0" borderId="43" xfId="4" applyFont="1" applyFill="1" applyBorder="1" applyAlignment="1">
      <alignment horizontal="center"/>
    </xf>
    <xf numFmtId="0" fontId="11" fillId="0" borderId="0" xfId="4" applyFont="1" applyFill="1" applyBorder="1" applyAlignment="1">
      <alignment horizontal="center"/>
    </xf>
    <xf numFmtId="0" fontId="11" fillId="0" borderId="44" xfId="4" applyFont="1" applyFill="1" applyBorder="1" applyAlignment="1">
      <alignment horizontal="center"/>
    </xf>
    <xf numFmtId="4" fontId="11" fillId="0" borderId="8" xfId="2" applyNumberFormat="1" applyFont="1" applyFill="1" applyBorder="1" applyAlignment="1">
      <alignment horizontal="right"/>
    </xf>
    <xf numFmtId="4" fontId="11" fillId="0" borderId="9" xfId="2" applyNumberFormat="1" applyFont="1" applyFill="1" applyBorder="1" applyAlignment="1">
      <alignment horizontal="right"/>
    </xf>
    <xf numFmtId="0" fontId="11" fillId="0" borderId="43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1" fillId="0" borderId="44" xfId="0" applyFont="1" applyFill="1" applyBorder="1" applyAlignment="1">
      <alignment horizontal="center" wrapText="1"/>
    </xf>
    <xf numFmtId="0" fontId="11" fillId="0" borderId="43" xfId="4" applyFont="1" applyFill="1" applyBorder="1" applyAlignment="1">
      <alignment horizontal="center" wrapText="1"/>
    </xf>
    <xf numFmtId="0" fontId="11" fillId="0" borderId="44" xfId="4" applyFont="1" applyFill="1" applyBorder="1" applyAlignment="1">
      <alignment horizontal="center" wrapText="1"/>
    </xf>
    <xf numFmtId="4" fontId="11" fillId="0" borderId="1" xfId="4" applyNumberFormat="1" applyFont="1" applyFill="1" applyBorder="1" applyAlignment="1">
      <alignment horizontal="right"/>
    </xf>
    <xf numFmtId="4" fontId="11" fillId="0" borderId="3" xfId="4" applyNumberFormat="1" applyFont="1" applyFill="1" applyBorder="1" applyAlignment="1">
      <alignment horizontal="right"/>
    </xf>
    <xf numFmtId="0" fontId="11" fillId="0" borderId="43" xfId="0" quotePrefix="1" applyFont="1" applyFill="1" applyBorder="1" applyAlignment="1">
      <alignment horizontal="center" wrapText="1"/>
    </xf>
    <xf numFmtId="0" fontId="11" fillId="0" borderId="43" xfId="4" quotePrefix="1" applyFont="1" applyFill="1" applyBorder="1" applyAlignment="1">
      <alignment horizontal="center" wrapText="1"/>
    </xf>
    <xf numFmtId="4" fontId="11" fillId="0" borderId="21" xfId="0" applyNumberFormat="1" applyFont="1" applyFill="1" applyBorder="1" applyAlignment="1">
      <alignment horizontal="right"/>
    </xf>
    <xf numFmtId="4" fontId="11" fillId="0" borderId="9" xfId="0" applyNumberFormat="1" applyFont="1" applyFill="1" applyBorder="1" applyAlignment="1">
      <alignment horizontal="right"/>
    </xf>
    <xf numFmtId="0" fontId="13" fillId="0" borderId="0" xfId="0" applyFont="1" applyFill="1" applyBorder="1" applyAlignment="1"/>
    <xf numFmtId="0" fontId="14" fillId="0" borderId="44" xfId="0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right"/>
    </xf>
    <xf numFmtId="4" fontId="11" fillId="0" borderId="11" xfId="0" applyNumberFormat="1" applyFont="1" applyFill="1" applyBorder="1" applyAlignment="1">
      <alignment horizontal="right"/>
    </xf>
    <xf numFmtId="0" fontId="11" fillId="0" borderId="46" xfId="0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/>
    </xf>
    <xf numFmtId="0" fontId="11" fillId="0" borderId="47" xfId="0" applyFont="1" applyFill="1" applyBorder="1" applyAlignment="1">
      <alignment horizontal="center"/>
    </xf>
    <xf numFmtId="4" fontId="14" fillId="0" borderId="8" xfId="0" applyNumberFormat="1" applyFont="1" applyFill="1" applyBorder="1" applyAlignment="1">
      <alignment horizontal="right"/>
    </xf>
    <xf numFmtId="4" fontId="14" fillId="0" borderId="9" xfId="0" applyNumberFormat="1" applyFont="1" applyFill="1" applyBorder="1" applyAlignment="1">
      <alignment horizontal="right"/>
    </xf>
    <xf numFmtId="4" fontId="11" fillId="0" borderId="8" xfId="0" applyNumberFormat="1" applyFont="1" applyFill="1" applyBorder="1" applyAlignment="1">
      <alignment horizontal="right"/>
    </xf>
    <xf numFmtId="0" fontId="14" fillId="0" borderId="0" xfId="0" applyFont="1" applyFill="1" applyBorder="1" applyAlignment="1"/>
    <xf numFmtId="0" fontId="11" fillId="0" borderId="36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11" fillId="0" borderId="45" xfId="0" applyFont="1" applyFill="1" applyBorder="1" applyAlignment="1">
      <alignment horizontal="center"/>
    </xf>
    <xf numFmtId="4" fontId="14" fillId="0" borderId="31" xfId="0" applyNumberFormat="1" applyFont="1" applyFill="1" applyBorder="1" applyAlignment="1">
      <alignment horizontal="right"/>
    </xf>
    <xf numFmtId="4" fontId="14" fillId="0" borderId="32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center"/>
    </xf>
    <xf numFmtId="4" fontId="21" fillId="0" borderId="3" xfId="0" applyNumberFormat="1" applyFont="1" applyFill="1" applyBorder="1"/>
    <xf numFmtId="43" fontId="11" fillId="0" borderId="0" xfId="5" applyFont="1" applyFill="1" applyAlignment="1"/>
    <xf numFmtId="4" fontId="11" fillId="2" borderId="3" xfId="0" applyNumberFormat="1" applyFont="1" applyFill="1" applyBorder="1" applyAlignment="1">
      <alignment horizontal="right"/>
    </xf>
    <xf numFmtId="4" fontId="11" fillId="3" borderId="1" xfId="0" applyNumberFormat="1" applyFont="1" applyFill="1" applyBorder="1" applyAlignment="1">
      <alignment horizontal="center"/>
    </xf>
    <xf numFmtId="4" fontId="11" fillId="3" borderId="1" xfId="0" applyNumberFormat="1" applyFont="1" applyFill="1" applyBorder="1"/>
    <xf numFmtId="4" fontId="11" fillId="3" borderId="3" xfId="0" applyNumberFormat="1" applyFont="1" applyFill="1" applyBorder="1"/>
    <xf numFmtId="4" fontId="14" fillId="3" borderId="4" xfId="3" applyNumberFormat="1" applyFont="1" applyFill="1" applyBorder="1"/>
    <xf numFmtId="4" fontId="11" fillId="3" borderId="3" xfId="3" applyNumberFormat="1" applyFont="1" applyFill="1" applyBorder="1"/>
    <xf numFmtId="4" fontId="11" fillId="3" borderId="6" xfId="3" applyNumberFormat="1" applyFont="1" applyFill="1" applyBorder="1"/>
    <xf numFmtId="4" fontId="11" fillId="3" borderId="8" xfId="3" applyNumberFormat="1" applyFont="1" applyFill="1" applyBorder="1"/>
    <xf numFmtId="4" fontId="11" fillId="3" borderId="10" xfId="3" applyNumberFormat="1" applyFont="1" applyFill="1" applyBorder="1"/>
    <xf numFmtId="4" fontId="14" fillId="3" borderId="3" xfId="3" applyNumberFormat="1" applyFont="1" applyFill="1" applyBorder="1"/>
    <xf numFmtId="4" fontId="14" fillId="3" borderId="8" xfId="3" applyNumberFormat="1" applyFont="1" applyFill="1" applyBorder="1"/>
    <xf numFmtId="4" fontId="11" fillId="3" borderId="12" xfId="3" applyNumberFormat="1" applyFont="1" applyFill="1" applyBorder="1"/>
    <xf numFmtId="4" fontId="11" fillId="3" borderId="4" xfId="3" applyNumberFormat="1" applyFont="1" applyFill="1" applyBorder="1"/>
    <xf numFmtId="4" fontId="11" fillId="3" borderId="14" xfId="3" applyNumberFormat="1" applyFont="1" applyFill="1" applyBorder="1"/>
    <xf numFmtId="4" fontId="11" fillId="3" borderId="17" xfId="3" applyNumberFormat="1" applyFont="1" applyFill="1" applyBorder="1"/>
    <xf numFmtId="4" fontId="11" fillId="3" borderId="3" xfId="0" applyNumberFormat="1" applyFont="1" applyFill="1" applyBorder="1" applyAlignment="1">
      <alignment horizontal="right" wrapText="1"/>
    </xf>
    <xf numFmtId="4" fontId="14" fillId="3" borderId="21" xfId="2" applyNumberFormat="1" applyFont="1" applyFill="1" applyBorder="1" applyAlignment="1">
      <alignment horizontal="right"/>
    </xf>
    <xf numFmtId="4" fontId="11" fillId="3" borderId="3" xfId="0" applyNumberFormat="1" applyFont="1" applyFill="1" applyBorder="1" applyAlignment="1">
      <alignment horizontal="right"/>
    </xf>
    <xf numFmtId="4" fontId="11" fillId="3" borderId="8" xfId="2" applyNumberFormat="1" applyFont="1" applyFill="1" applyBorder="1" applyAlignment="1">
      <alignment horizontal="right"/>
    </xf>
    <xf numFmtId="4" fontId="11" fillId="3" borderId="1" xfId="0" applyNumberFormat="1" applyFont="1" applyFill="1" applyBorder="1" applyAlignment="1">
      <alignment horizontal="right"/>
    </xf>
    <xf numFmtId="4" fontId="11" fillId="3" borderId="3" xfId="4" applyNumberFormat="1" applyFont="1" applyFill="1" applyBorder="1" applyAlignment="1">
      <alignment horizontal="right"/>
    </xf>
    <xf numFmtId="4" fontId="11" fillId="3" borderId="10" xfId="0" applyNumberFormat="1" applyFont="1" applyFill="1" applyBorder="1" applyAlignment="1">
      <alignment horizontal="right"/>
    </xf>
    <xf numFmtId="4" fontId="14" fillId="3" borderId="8" xfId="0" applyNumberFormat="1" applyFont="1" applyFill="1" applyBorder="1" applyAlignment="1">
      <alignment horizontal="right"/>
    </xf>
    <xf numFmtId="4" fontId="11" fillId="3" borderId="8" xfId="0" applyNumberFormat="1" applyFont="1" applyFill="1" applyBorder="1" applyAlignment="1">
      <alignment horizontal="right"/>
    </xf>
    <xf numFmtId="4" fontId="11" fillId="3" borderId="21" xfId="0" applyNumberFormat="1" applyFont="1" applyFill="1" applyBorder="1" applyAlignment="1">
      <alignment horizontal="right"/>
    </xf>
    <xf numFmtId="4" fontId="14" fillId="3" borderId="31" xfId="0" applyNumberFormat="1" applyFont="1" applyFill="1" applyBorder="1" applyAlignment="1">
      <alignment horizontal="right"/>
    </xf>
    <xf numFmtId="4" fontId="11" fillId="3" borderId="24" xfId="0" applyNumberFormat="1" applyFont="1" applyFill="1" applyBorder="1"/>
    <xf numFmtId="4" fontId="11" fillId="3" borderId="8" xfId="0" applyNumberFormat="1" applyFont="1" applyFill="1" applyBorder="1"/>
    <xf numFmtId="4" fontId="11" fillId="3" borderId="26" xfId="0" applyNumberFormat="1" applyFont="1" applyFill="1" applyBorder="1"/>
    <xf numFmtId="4" fontId="14" fillId="3" borderId="29" xfId="0" applyNumberFormat="1" applyFont="1" applyFill="1" applyBorder="1"/>
    <xf numFmtId="4" fontId="11" fillId="4" borderId="24" xfId="0" applyNumberFormat="1" applyFont="1" applyFill="1" applyBorder="1"/>
    <xf numFmtId="4" fontId="11" fillId="4" borderId="3" xfId="0" applyNumberFormat="1" applyFont="1" applyFill="1" applyBorder="1"/>
    <xf numFmtId="4" fontId="11" fillId="4" borderId="8" xfId="0" applyNumberFormat="1" applyFont="1" applyFill="1" applyBorder="1"/>
    <xf numFmtId="4" fontId="11" fillId="4" borderId="1" xfId="0" applyNumberFormat="1" applyFont="1" applyFill="1" applyBorder="1"/>
    <xf numFmtId="4" fontId="11" fillId="4" borderId="26" xfId="0" applyNumberFormat="1" applyFont="1" applyFill="1" applyBorder="1"/>
    <xf numFmtId="4" fontId="14" fillId="4" borderId="29" xfId="0" applyNumberFormat="1" applyFont="1" applyFill="1" applyBorder="1"/>
    <xf numFmtId="4" fontId="11" fillId="5" borderId="24" xfId="0" applyNumberFormat="1" applyFont="1" applyFill="1" applyBorder="1"/>
    <xf numFmtId="4" fontId="11" fillId="5" borderId="3" xfId="0" applyNumberFormat="1" applyFont="1" applyFill="1" applyBorder="1"/>
    <xf numFmtId="4" fontId="11" fillId="5" borderId="8" xfId="0" applyNumberFormat="1" applyFont="1" applyFill="1" applyBorder="1"/>
    <xf numFmtId="4" fontId="11" fillId="5" borderId="1" xfId="0" applyNumberFormat="1" applyFont="1" applyFill="1" applyBorder="1"/>
    <xf numFmtId="4" fontId="11" fillId="5" borderId="26" xfId="0" applyNumberFormat="1" applyFont="1" applyFill="1" applyBorder="1"/>
    <xf numFmtId="4" fontId="14" fillId="5" borderId="29" xfId="0" applyNumberFormat="1" applyFont="1" applyFill="1" applyBorder="1"/>
    <xf numFmtId="4" fontId="11" fillId="5" borderId="3" xfId="0" applyNumberFormat="1" applyFont="1" applyFill="1" applyBorder="1" applyAlignment="1">
      <alignment horizontal="right" wrapText="1"/>
    </xf>
    <xf numFmtId="4" fontId="14" fillId="5" borderId="21" xfId="2" applyNumberFormat="1" applyFont="1" applyFill="1" applyBorder="1" applyAlignment="1">
      <alignment horizontal="right"/>
    </xf>
    <xf numFmtId="4" fontId="11" fillId="5" borderId="3" xfId="0" applyNumberFormat="1" applyFont="1" applyFill="1" applyBorder="1" applyAlignment="1">
      <alignment horizontal="right"/>
    </xf>
    <xf numFmtId="4" fontId="11" fillId="5" borderId="8" xfId="2" applyNumberFormat="1" applyFont="1" applyFill="1" applyBorder="1" applyAlignment="1">
      <alignment horizontal="right"/>
    </xf>
    <xf numFmtId="4" fontId="11" fillId="5" borderId="1" xfId="0" applyNumberFormat="1" applyFont="1" applyFill="1" applyBorder="1" applyAlignment="1">
      <alignment horizontal="right"/>
    </xf>
    <xf numFmtId="4" fontId="11" fillId="5" borderId="3" xfId="4" applyNumberFormat="1" applyFont="1" applyFill="1" applyBorder="1" applyAlignment="1">
      <alignment horizontal="right"/>
    </xf>
    <xf numFmtId="4" fontId="11" fillId="5" borderId="10" xfId="0" applyNumberFormat="1" applyFont="1" applyFill="1" applyBorder="1" applyAlignment="1">
      <alignment horizontal="right"/>
    </xf>
    <xf numFmtId="4" fontId="14" fillId="5" borderId="8" xfId="0" applyNumberFormat="1" applyFont="1" applyFill="1" applyBorder="1" applyAlignment="1">
      <alignment horizontal="right"/>
    </xf>
    <xf numFmtId="4" fontId="11" fillId="5" borderId="8" xfId="0" applyNumberFormat="1" applyFont="1" applyFill="1" applyBorder="1" applyAlignment="1">
      <alignment horizontal="right"/>
    </xf>
    <xf numFmtId="4" fontId="11" fillId="5" borderId="21" xfId="0" applyNumberFormat="1" applyFont="1" applyFill="1" applyBorder="1" applyAlignment="1">
      <alignment horizontal="right"/>
    </xf>
    <xf numFmtId="4" fontId="14" fillId="5" borderId="31" xfId="0" applyNumberFormat="1" applyFont="1" applyFill="1" applyBorder="1" applyAlignment="1">
      <alignment horizontal="right"/>
    </xf>
    <xf numFmtId="4" fontId="11" fillId="5" borderId="1" xfId="0" applyNumberFormat="1" applyFont="1" applyFill="1" applyBorder="1" applyAlignment="1">
      <alignment horizontal="center"/>
    </xf>
    <xf numFmtId="4" fontId="14" fillId="5" borderId="4" xfId="3" applyNumberFormat="1" applyFont="1" applyFill="1" applyBorder="1"/>
    <xf numFmtId="4" fontId="11" fillId="5" borderId="3" xfId="3" applyNumberFormat="1" applyFont="1" applyFill="1" applyBorder="1"/>
    <xf numFmtId="4" fontId="11" fillId="5" borderId="6" xfId="3" applyNumberFormat="1" applyFont="1" applyFill="1" applyBorder="1"/>
    <xf numFmtId="4" fontId="11" fillId="5" borderId="8" xfId="3" applyNumberFormat="1" applyFont="1" applyFill="1" applyBorder="1"/>
    <xf numFmtId="4" fontId="11" fillId="5" borderId="10" xfId="3" applyNumberFormat="1" applyFont="1" applyFill="1" applyBorder="1"/>
    <xf numFmtId="4" fontId="14" fillId="5" borderId="3" xfId="3" applyNumberFormat="1" applyFont="1" applyFill="1" applyBorder="1"/>
    <xf numFmtId="4" fontId="14" fillId="5" borderId="8" xfId="3" applyNumberFormat="1" applyFont="1" applyFill="1" applyBorder="1"/>
    <xf numFmtId="4" fontId="11" fillId="5" borderId="12" xfId="3" applyNumberFormat="1" applyFont="1" applyFill="1" applyBorder="1"/>
    <xf numFmtId="4" fontId="11" fillId="5" borderId="4" xfId="3" applyNumberFormat="1" applyFont="1" applyFill="1" applyBorder="1"/>
    <xf numFmtId="4" fontId="11" fillId="5" borderId="14" xfId="3" applyNumberFormat="1" applyFont="1" applyFill="1" applyBorder="1"/>
    <xf numFmtId="4" fontId="11" fillId="5" borderId="17" xfId="3" applyNumberFormat="1" applyFont="1" applyFill="1" applyBorder="1"/>
    <xf numFmtId="4" fontId="11" fillId="4" borderId="1" xfId="0" applyNumberFormat="1" applyFont="1" applyFill="1" applyBorder="1" applyAlignment="1">
      <alignment horizontal="center"/>
    </xf>
    <xf numFmtId="4" fontId="14" fillId="4" borderId="4" xfId="3" applyNumberFormat="1" applyFont="1" applyFill="1" applyBorder="1"/>
    <xf numFmtId="4" fontId="11" fillId="4" borderId="3" xfId="3" applyNumberFormat="1" applyFont="1" applyFill="1" applyBorder="1"/>
    <xf numFmtId="4" fontId="11" fillId="4" borderId="6" xfId="3" applyNumberFormat="1" applyFont="1" applyFill="1" applyBorder="1"/>
    <xf numFmtId="4" fontId="11" fillId="4" borderId="8" xfId="3" applyNumberFormat="1" applyFont="1" applyFill="1" applyBorder="1"/>
    <xf numFmtId="4" fontId="11" fillId="4" borderId="10" xfId="3" applyNumberFormat="1" applyFont="1" applyFill="1" applyBorder="1"/>
    <xf numFmtId="4" fontId="14" fillId="4" borderId="3" xfId="3" applyNumberFormat="1" applyFont="1" applyFill="1" applyBorder="1"/>
    <xf numFmtId="4" fontId="14" fillId="4" borderId="8" xfId="3" applyNumberFormat="1" applyFont="1" applyFill="1" applyBorder="1"/>
    <xf numFmtId="4" fontId="11" fillId="4" borderId="12" xfId="3" applyNumberFormat="1" applyFont="1" applyFill="1" applyBorder="1"/>
    <xf numFmtId="4" fontId="11" fillId="4" borderId="4" xfId="3" applyNumberFormat="1" applyFont="1" applyFill="1" applyBorder="1"/>
    <xf numFmtId="4" fontId="11" fillId="4" borderId="14" xfId="3" applyNumberFormat="1" applyFont="1" applyFill="1" applyBorder="1"/>
    <xf numFmtId="4" fontId="11" fillId="4" borderId="17" xfId="3" applyNumberFormat="1" applyFont="1" applyFill="1" applyBorder="1"/>
    <xf numFmtId="4" fontId="11" fillId="4" borderId="3" xfId="0" applyNumberFormat="1" applyFont="1" applyFill="1" applyBorder="1" applyAlignment="1">
      <alignment horizontal="right" wrapText="1"/>
    </xf>
    <xf numFmtId="4" fontId="14" fillId="4" borderId="21" xfId="2" applyNumberFormat="1" applyFont="1" applyFill="1" applyBorder="1" applyAlignment="1">
      <alignment horizontal="right"/>
    </xf>
    <xf numFmtId="4" fontId="11" fillId="4" borderId="3" xfId="0" applyNumberFormat="1" applyFont="1" applyFill="1" applyBorder="1" applyAlignment="1">
      <alignment horizontal="right"/>
    </xf>
    <xf numFmtId="4" fontId="11" fillId="4" borderId="8" xfId="2" applyNumberFormat="1" applyFont="1" applyFill="1" applyBorder="1" applyAlignment="1">
      <alignment horizontal="right"/>
    </xf>
    <xf numFmtId="4" fontId="11" fillId="4" borderId="1" xfId="0" applyNumberFormat="1" applyFont="1" applyFill="1" applyBorder="1" applyAlignment="1">
      <alignment horizontal="right"/>
    </xf>
    <xf numFmtId="4" fontId="11" fillId="4" borderId="3" xfId="4" applyNumberFormat="1" applyFont="1" applyFill="1" applyBorder="1" applyAlignment="1">
      <alignment horizontal="right"/>
    </xf>
    <xf numFmtId="4" fontId="11" fillId="4" borderId="10" xfId="0" applyNumberFormat="1" applyFont="1" applyFill="1" applyBorder="1" applyAlignment="1">
      <alignment horizontal="right"/>
    </xf>
    <xf numFmtId="4" fontId="14" fillId="4" borderId="8" xfId="0" applyNumberFormat="1" applyFont="1" applyFill="1" applyBorder="1" applyAlignment="1">
      <alignment horizontal="right"/>
    </xf>
    <xf numFmtId="4" fontId="11" fillId="4" borderId="8" xfId="0" applyNumberFormat="1" applyFont="1" applyFill="1" applyBorder="1" applyAlignment="1">
      <alignment horizontal="right"/>
    </xf>
    <xf numFmtId="4" fontId="11" fillId="4" borderId="21" xfId="0" applyNumberFormat="1" applyFont="1" applyFill="1" applyBorder="1" applyAlignment="1">
      <alignment horizontal="right"/>
    </xf>
    <xf numFmtId="4" fontId="14" fillId="4" borderId="31" xfId="0" applyNumberFormat="1" applyFont="1" applyFill="1" applyBorder="1" applyAlignment="1">
      <alignment horizontal="right"/>
    </xf>
    <xf numFmtId="4" fontId="11" fillId="2" borderId="24" xfId="0" applyNumberFormat="1" applyFont="1" applyFill="1" applyBorder="1"/>
    <xf numFmtId="4" fontId="11" fillId="2" borderId="3" xfId="0" applyNumberFormat="1" applyFont="1" applyFill="1" applyBorder="1"/>
    <xf numFmtId="4" fontId="11" fillId="2" borderId="8" xfId="0" applyNumberFormat="1" applyFont="1" applyFill="1" applyBorder="1"/>
    <xf numFmtId="4" fontId="11" fillId="2" borderId="1" xfId="0" applyNumberFormat="1" applyFont="1" applyFill="1" applyBorder="1"/>
    <xf numFmtId="4" fontId="11" fillId="2" borderId="26" xfId="0" applyNumberFormat="1" applyFont="1" applyFill="1" applyBorder="1"/>
    <xf numFmtId="4" fontId="14" fillId="2" borderId="29" xfId="0" applyNumberFormat="1" applyFont="1" applyFill="1" applyBorder="1"/>
    <xf numFmtId="4" fontId="11" fillId="2" borderId="3" xfId="0" applyNumberFormat="1" applyFont="1" applyFill="1" applyBorder="1" applyAlignment="1">
      <alignment horizontal="right" wrapText="1"/>
    </xf>
    <xf numFmtId="4" fontId="14" fillId="2" borderId="21" xfId="2" applyNumberFormat="1" applyFont="1" applyFill="1" applyBorder="1" applyAlignment="1">
      <alignment horizontal="right"/>
    </xf>
    <xf numFmtId="4" fontId="11" fillId="2" borderId="8" xfId="2" applyNumberFormat="1" applyFont="1" applyFill="1" applyBorder="1" applyAlignment="1">
      <alignment horizontal="right"/>
    </xf>
    <xf numFmtId="4" fontId="11" fillId="2" borderId="1" xfId="0" applyNumberFormat="1" applyFont="1" applyFill="1" applyBorder="1" applyAlignment="1">
      <alignment horizontal="right"/>
    </xf>
    <xf numFmtId="4" fontId="11" fillId="2" borderId="10" xfId="0" applyNumberFormat="1" applyFont="1" applyFill="1" applyBorder="1" applyAlignment="1">
      <alignment horizontal="right"/>
    </xf>
    <xf numFmtId="4" fontId="14" fillId="2" borderId="8" xfId="0" applyNumberFormat="1" applyFont="1" applyFill="1" applyBorder="1" applyAlignment="1">
      <alignment horizontal="right"/>
    </xf>
    <xf numFmtId="4" fontId="11" fillId="2" borderId="8" xfId="0" applyNumberFormat="1" applyFont="1" applyFill="1" applyBorder="1" applyAlignment="1">
      <alignment horizontal="right"/>
    </xf>
    <xf numFmtId="4" fontId="11" fillId="2" borderId="21" xfId="0" applyNumberFormat="1" applyFont="1" applyFill="1" applyBorder="1" applyAlignment="1">
      <alignment horizontal="right"/>
    </xf>
    <xf numFmtId="4" fontId="14" fillId="2" borderId="31" xfId="0" applyNumberFormat="1" applyFont="1" applyFill="1" applyBorder="1" applyAlignment="1">
      <alignment horizontal="right"/>
    </xf>
    <xf numFmtId="4" fontId="11" fillId="2" borderId="1" xfId="0" applyNumberFormat="1" applyFont="1" applyFill="1" applyBorder="1" applyAlignment="1">
      <alignment horizontal="center"/>
    </xf>
    <xf numFmtId="4" fontId="14" fillId="2" borderId="4" xfId="3" applyNumberFormat="1" applyFont="1" applyFill="1" applyBorder="1"/>
    <xf numFmtId="4" fontId="11" fillId="2" borderId="3" xfId="3" applyNumberFormat="1" applyFont="1" applyFill="1" applyBorder="1"/>
    <xf numFmtId="4" fontId="11" fillId="2" borderId="6" xfId="3" applyNumberFormat="1" applyFont="1" applyFill="1" applyBorder="1"/>
    <xf numFmtId="4" fontId="11" fillId="2" borderId="8" xfId="3" applyNumberFormat="1" applyFont="1" applyFill="1" applyBorder="1"/>
    <xf numFmtId="4" fontId="11" fillId="2" borderId="10" xfId="3" applyNumberFormat="1" applyFont="1" applyFill="1" applyBorder="1"/>
    <xf numFmtId="4" fontId="14" fillId="2" borderId="3" xfId="3" applyNumberFormat="1" applyFont="1" applyFill="1" applyBorder="1"/>
    <xf numFmtId="4" fontId="14" fillId="2" borderId="8" xfId="3" applyNumberFormat="1" applyFont="1" applyFill="1" applyBorder="1"/>
    <xf numFmtId="4" fontId="11" fillId="2" borderId="12" xfId="3" applyNumberFormat="1" applyFont="1" applyFill="1" applyBorder="1"/>
    <xf numFmtId="4" fontId="11" fillId="2" borderId="4" xfId="3" applyNumberFormat="1" applyFont="1" applyFill="1" applyBorder="1"/>
    <xf numFmtId="4" fontId="11" fillId="2" borderId="14" xfId="3" applyNumberFormat="1" applyFont="1" applyFill="1" applyBorder="1"/>
    <xf numFmtId="4" fontId="11" fillId="2" borderId="17" xfId="3" applyNumberFormat="1" applyFont="1" applyFill="1" applyBorder="1"/>
    <xf numFmtId="4" fontId="11" fillId="0" borderId="48" xfId="3" applyNumberFormat="1" applyFont="1" applyFill="1" applyBorder="1"/>
    <xf numFmtId="4" fontId="11" fillId="6" borderId="2" xfId="0" applyNumberFormat="1" applyFont="1" applyFill="1" applyBorder="1" applyAlignment="1">
      <alignment horizontal="right"/>
    </xf>
    <xf numFmtId="4" fontId="11" fillId="6" borderId="2" xfId="0" applyNumberFormat="1" applyFont="1" applyFill="1" applyBorder="1"/>
    <xf numFmtId="4" fontId="14" fillId="6" borderId="4" xfId="3" applyNumberFormat="1" applyFont="1" applyFill="1" applyBorder="1"/>
    <xf numFmtId="4" fontId="11" fillId="6" borderId="2" xfId="3" applyNumberFormat="1" applyFont="1" applyFill="1" applyBorder="1"/>
    <xf numFmtId="4" fontId="11" fillId="6" borderId="49" xfId="3" applyNumberFormat="1" applyFont="1" applyFill="1" applyBorder="1"/>
    <xf numFmtId="4" fontId="11" fillId="6" borderId="11" xfId="3" applyNumberFormat="1" applyFont="1" applyFill="1" applyBorder="1"/>
    <xf numFmtId="4" fontId="14" fillId="6" borderId="5" xfId="3" applyNumberFormat="1" applyFont="1" applyFill="1" applyBorder="1"/>
    <xf numFmtId="4" fontId="14" fillId="6" borderId="2" xfId="3" applyNumberFormat="1" applyFont="1" applyFill="1" applyBorder="1"/>
    <xf numFmtId="4" fontId="14" fillId="6" borderId="9" xfId="3" applyNumberFormat="1" applyFont="1" applyFill="1" applyBorder="1"/>
    <xf numFmtId="4" fontId="11" fillId="6" borderId="9" xfId="3" applyNumberFormat="1" applyFont="1" applyFill="1" applyBorder="1"/>
    <xf numFmtId="4" fontId="11" fillId="6" borderId="13" xfId="3" applyNumberFormat="1" applyFont="1" applyFill="1" applyBorder="1"/>
    <xf numFmtId="4" fontId="11" fillId="6" borderId="5" xfId="3" applyNumberFormat="1" applyFont="1" applyFill="1" applyBorder="1"/>
    <xf numFmtId="4" fontId="11" fillId="6" borderId="15" xfId="3" applyNumberFormat="1" applyFont="1" applyFill="1" applyBorder="1"/>
    <xf numFmtId="4" fontId="11" fillId="6" borderId="18" xfId="3" applyNumberFormat="1" applyFont="1" applyFill="1" applyBorder="1"/>
    <xf numFmtId="4" fontId="11" fillId="6" borderId="2" xfId="0" applyNumberFormat="1" applyFont="1" applyFill="1" applyBorder="1" applyAlignment="1">
      <alignment horizontal="right" wrapText="1"/>
    </xf>
    <xf numFmtId="4" fontId="14" fillId="6" borderId="9" xfId="2" applyNumberFormat="1" applyFont="1" applyFill="1" applyBorder="1" applyAlignment="1">
      <alignment horizontal="right"/>
    </xf>
    <xf numFmtId="4" fontId="11" fillId="6" borderId="8" xfId="2" applyNumberFormat="1" applyFont="1" applyFill="1" applyBorder="1" applyAlignment="1">
      <alignment horizontal="right"/>
    </xf>
    <xf numFmtId="4" fontId="11" fillId="6" borderId="50" xfId="0" applyNumberFormat="1" applyFont="1" applyFill="1" applyBorder="1" applyAlignment="1">
      <alignment horizontal="right"/>
    </xf>
    <xf numFmtId="4" fontId="11" fillId="6" borderId="9" xfId="2" applyNumberFormat="1" applyFont="1" applyFill="1" applyBorder="1" applyAlignment="1">
      <alignment horizontal="right"/>
    </xf>
    <xf numFmtId="4" fontId="11" fillId="6" borderId="11" xfId="0" applyNumberFormat="1" applyFont="1" applyFill="1" applyBorder="1" applyAlignment="1">
      <alignment horizontal="right"/>
    </xf>
    <xf numFmtId="4" fontId="14" fillId="6" borderId="9" xfId="0" applyNumberFormat="1" applyFont="1" applyFill="1" applyBorder="1" applyAlignment="1">
      <alignment horizontal="right"/>
    </xf>
    <xf numFmtId="4" fontId="11" fillId="6" borderId="9" xfId="0" applyNumberFormat="1" applyFont="1" applyFill="1" applyBorder="1" applyAlignment="1">
      <alignment horizontal="right"/>
    </xf>
    <xf numFmtId="4" fontId="11" fillId="0" borderId="25" xfId="0" applyNumberFormat="1" applyFont="1" applyFill="1" applyBorder="1" applyAlignment="1">
      <alignment horizontal="right" wrapText="1"/>
    </xf>
    <xf numFmtId="0" fontId="11" fillId="0" borderId="0" xfId="0" applyFont="1" applyFill="1" applyBorder="1" applyAlignment="1">
      <alignment horizontal="left" vertical="center" wrapText="1"/>
    </xf>
    <xf numFmtId="4" fontId="25" fillId="0" borderId="51" xfId="3" applyNumberFormat="1" applyFont="1" applyFill="1" applyBorder="1" applyAlignment="1">
      <alignment horizontal="right" vertical="center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34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/>
    </xf>
    <xf numFmtId="4" fontId="11" fillId="0" borderId="3" xfId="0" applyNumberFormat="1" applyFont="1" applyFill="1" applyBorder="1" applyAlignment="1">
      <alignment vertical="center"/>
    </xf>
    <xf numFmtId="4" fontId="11" fillId="0" borderId="20" xfId="0" applyNumberFormat="1" applyFont="1" applyFill="1" applyBorder="1" applyAlignment="1">
      <alignment vertical="center"/>
    </xf>
    <xf numFmtId="4" fontId="14" fillId="0" borderId="21" xfId="0" applyNumberFormat="1" applyFont="1" applyFill="1" applyBorder="1" applyAlignment="1">
      <alignment vertical="center"/>
    </xf>
    <xf numFmtId="0" fontId="25" fillId="0" borderId="16" xfId="0" applyFont="1" applyFill="1" applyBorder="1" applyAlignment="1">
      <alignment vertical="center" wrapText="1"/>
    </xf>
    <xf numFmtId="0" fontId="25" fillId="0" borderId="16" xfId="0" applyFont="1" applyFill="1" applyBorder="1" applyAlignment="1">
      <alignment horizontal="right"/>
    </xf>
    <xf numFmtId="4" fontId="25" fillId="0" borderId="31" xfId="0" applyNumberFormat="1" applyFont="1" applyFill="1" applyBorder="1" applyAlignment="1">
      <alignment horizontal="right"/>
    </xf>
    <xf numFmtId="4" fontId="25" fillId="6" borderId="32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vertical="center" wrapText="1"/>
    </xf>
    <xf numFmtId="0" fontId="26" fillId="0" borderId="16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vertical="center" wrapText="1"/>
    </xf>
    <xf numFmtId="0" fontId="11" fillId="0" borderId="4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4" fontId="11" fillId="0" borderId="23" xfId="0" applyNumberFormat="1" applyFont="1" applyFill="1" applyBorder="1" applyAlignment="1">
      <alignment vertical="center" wrapText="1"/>
    </xf>
    <xf numFmtId="4" fontId="11" fillId="0" borderId="24" xfId="0" applyNumberFormat="1" applyFont="1" applyFill="1" applyBorder="1" applyAlignment="1">
      <alignment vertical="center" wrapText="1"/>
    </xf>
    <xf numFmtId="4" fontId="11" fillId="6" borderId="25" xfId="0" applyNumberFormat="1" applyFont="1" applyFill="1" applyBorder="1" applyAlignment="1">
      <alignment vertical="center" wrapText="1"/>
    </xf>
    <xf numFmtId="0" fontId="11" fillId="0" borderId="43" xfId="0" applyFont="1" applyFill="1" applyBorder="1" applyAlignment="1">
      <alignment vertical="center" wrapText="1"/>
    </xf>
    <xf numFmtId="0" fontId="11" fillId="0" borderId="44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 wrapText="1"/>
    </xf>
    <xf numFmtId="4" fontId="11" fillId="0" borderId="3" xfId="0" applyNumberFormat="1" applyFont="1" applyFill="1" applyBorder="1" applyAlignment="1">
      <alignment vertical="center" wrapText="1"/>
    </xf>
    <xf numFmtId="4" fontId="11" fillId="6" borderId="2" xfId="0" applyNumberFormat="1" applyFont="1" applyFill="1" applyBorder="1" applyAlignment="1">
      <alignment vertical="center" wrapText="1"/>
    </xf>
    <xf numFmtId="0" fontId="9" fillId="0" borderId="0" xfId="4" applyFont="1" applyFill="1" applyBorder="1" applyAlignment="1">
      <alignment vertical="center" wrapText="1"/>
    </xf>
    <xf numFmtId="0" fontId="9" fillId="0" borderId="44" xfId="4" applyFont="1" applyFill="1" applyBorder="1" applyAlignment="1">
      <alignment vertical="center" wrapText="1"/>
    </xf>
    <xf numFmtId="4" fontId="11" fillId="0" borderId="8" xfId="0" applyNumberFormat="1" applyFont="1" applyFill="1" applyBorder="1" applyAlignment="1">
      <alignment vertical="center" wrapText="1"/>
    </xf>
    <xf numFmtId="4" fontId="11" fillId="6" borderId="9" xfId="0" applyNumberFormat="1" applyFont="1" applyFill="1" applyBorder="1" applyAlignment="1">
      <alignment vertical="center" wrapText="1"/>
    </xf>
    <xf numFmtId="0" fontId="14" fillId="0" borderId="22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44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4" fillId="0" borderId="44" xfId="0" applyFont="1" applyFill="1" applyBorder="1" applyAlignment="1">
      <alignment vertical="center" wrapText="1"/>
    </xf>
    <xf numFmtId="0" fontId="10" fillId="0" borderId="0" xfId="4" applyFont="1" applyFill="1" applyBorder="1" applyAlignment="1">
      <alignment vertical="center" wrapText="1"/>
    </xf>
    <xf numFmtId="4" fontId="11" fillId="0" borderId="26" xfId="0" applyNumberFormat="1" applyFont="1" applyFill="1" applyBorder="1" applyAlignment="1">
      <alignment vertical="center" wrapText="1"/>
    </xf>
    <xf numFmtId="4" fontId="11" fillId="6" borderId="27" xfId="0" applyNumberFormat="1" applyFont="1" applyFill="1" applyBorder="1" applyAlignment="1">
      <alignment vertical="center" wrapText="1"/>
    </xf>
    <xf numFmtId="0" fontId="11" fillId="0" borderId="36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vertical="center" wrapText="1"/>
    </xf>
    <xf numFmtId="0" fontId="11" fillId="0" borderId="45" xfId="0" applyFont="1" applyFill="1" applyBorder="1" applyAlignment="1">
      <alignment vertical="center" wrapText="1"/>
    </xf>
    <xf numFmtId="0" fontId="25" fillId="0" borderId="16" xfId="0" applyFont="1" applyFill="1" applyBorder="1" applyAlignment="1">
      <alignment horizontal="right" vertical="center" wrapText="1"/>
    </xf>
    <xf numFmtId="4" fontId="25" fillId="0" borderId="28" xfId="0" applyNumberFormat="1" applyFont="1" applyFill="1" applyBorder="1" applyAlignment="1">
      <alignment vertical="center" wrapText="1"/>
    </xf>
    <xf numFmtId="4" fontId="25" fillId="0" borderId="29" xfId="0" applyNumberFormat="1" applyFont="1" applyFill="1" applyBorder="1" applyAlignment="1">
      <alignment vertical="center" wrapText="1"/>
    </xf>
    <xf numFmtId="4" fontId="25" fillId="6" borderId="30" xfId="0" applyNumberFormat="1" applyFont="1" applyFill="1" applyBorder="1" applyAlignment="1">
      <alignment vertical="center" wrapText="1"/>
    </xf>
    <xf numFmtId="4" fontId="19" fillId="0" borderId="0" xfId="0" applyNumberFormat="1" applyFont="1" applyFill="1" applyAlignment="1">
      <alignment vertical="center" wrapText="1"/>
    </xf>
    <xf numFmtId="4" fontId="11" fillId="9" borderId="1" xfId="0" applyNumberFormat="1" applyFont="1" applyFill="1" applyBorder="1" applyAlignment="1">
      <alignment horizontal="center"/>
    </xf>
    <xf numFmtId="4" fontId="11" fillId="9" borderId="1" xfId="0" applyNumberFormat="1" applyFont="1" applyFill="1" applyBorder="1"/>
    <xf numFmtId="4" fontId="11" fillId="9" borderId="3" xfId="0" applyNumberFormat="1" applyFont="1" applyFill="1" applyBorder="1"/>
    <xf numFmtId="4" fontId="14" fillId="9" borderId="4" xfId="3" applyNumberFormat="1" applyFont="1" applyFill="1" applyBorder="1"/>
    <xf numFmtId="4" fontId="11" fillId="9" borderId="3" xfId="3" applyNumberFormat="1" applyFont="1" applyFill="1" applyBorder="1"/>
    <xf numFmtId="4" fontId="11" fillId="9" borderId="6" xfId="3" applyNumberFormat="1" applyFont="1" applyFill="1" applyBorder="1"/>
    <xf numFmtId="4" fontId="11" fillId="9" borderId="8" xfId="3" applyNumberFormat="1" applyFont="1" applyFill="1" applyBorder="1"/>
    <xf numFmtId="4" fontId="11" fillId="9" borderId="10" xfId="3" applyNumberFormat="1" applyFont="1" applyFill="1" applyBorder="1"/>
    <xf numFmtId="4" fontId="14" fillId="9" borderId="3" xfId="3" applyNumberFormat="1" applyFont="1" applyFill="1" applyBorder="1"/>
    <xf numFmtId="4" fontId="14" fillId="9" borderId="8" xfId="3" applyNumberFormat="1" applyFont="1" applyFill="1" applyBorder="1"/>
    <xf numFmtId="4" fontId="11" fillId="9" borderId="12" xfId="3" applyNumberFormat="1" applyFont="1" applyFill="1" applyBorder="1"/>
    <xf numFmtId="4" fontId="11" fillId="9" borderId="4" xfId="3" applyNumberFormat="1" applyFont="1" applyFill="1" applyBorder="1"/>
    <xf numFmtId="4" fontId="11" fillId="9" borderId="14" xfId="3" applyNumberFormat="1" applyFont="1" applyFill="1" applyBorder="1"/>
    <xf numFmtId="4" fontId="11" fillId="9" borderId="17" xfId="3" applyNumberFormat="1" applyFont="1" applyFill="1" applyBorder="1"/>
    <xf numFmtId="4" fontId="11" fillId="10" borderId="1" xfId="0" applyNumberFormat="1" applyFont="1" applyFill="1" applyBorder="1" applyAlignment="1">
      <alignment horizontal="center"/>
    </xf>
    <xf numFmtId="4" fontId="11" fillId="10" borderId="1" xfId="0" applyNumberFormat="1" applyFont="1" applyFill="1" applyBorder="1"/>
    <xf numFmtId="4" fontId="11" fillId="10" borderId="3" xfId="0" applyNumberFormat="1" applyFont="1" applyFill="1" applyBorder="1"/>
    <xf numFmtId="4" fontId="14" fillId="10" borderId="4" xfId="3" applyNumberFormat="1" applyFont="1" applyFill="1" applyBorder="1"/>
    <xf numFmtId="4" fontId="11" fillId="10" borderId="3" xfId="3" applyNumberFormat="1" applyFont="1" applyFill="1" applyBorder="1"/>
    <xf numFmtId="4" fontId="11" fillId="10" borderId="6" xfId="3" applyNumberFormat="1" applyFont="1" applyFill="1" applyBorder="1"/>
    <xf numFmtId="4" fontId="11" fillId="10" borderId="8" xfId="3" applyNumberFormat="1" applyFont="1" applyFill="1" applyBorder="1"/>
    <xf numFmtId="4" fontId="11" fillId="10" borderId="10" xfId="3" applyNumberFormat="1" applyFont="1" applyFill="1" applyBorder="1"/>
    <xf numFmtId="4" fontId="14" fillId="10" borderId="3" xfId="3" applyNumberFormat="1" applyFont="1" applyFill="1" applyBorder="1"/>
    <xf numFmtId="4" fontId="14" fillId="10" borderId="8" xfId="3" applyNumberFormat="1" applyFont="1" applyFill="1" applyBorder="1"/>
    <xf numFmtId="4" fontId="11" fillId="10" borderId="12" xfId="3" applyNumberFormat="1" applyFont="1" applyFill="1" applyBorder="1"/>
    <xf numFmtId="4" fontId="11" fillId="10" borderId="4" xfId="3" applyNumberFormat="1" applyFont="1" applyFill="1" applyBorder="1"/>
    <xf numFmtId="4" fontId="11" fillId="10" borderId="14" xfId="3" applyNumberFormat="1" applyFont="1" applyFill="1" applyBorder="1"/>
    <xf numFmtId="4" fontId="11" fillId="10" borderId="17" xfId="3" applyNumberFormat="1" applyFont="1" applyFill="1" applyBorder="1"/>
    <xf numFmtId="4" fontId="11" fillId="11" borderId="1" xfId="0" applyNumberFormat="1" applyFont="1" applyFill="1" applyBorder="1" applyAlignment="1">
      <alignment horizontal="center"/>
    </xf>
    <xf numFmtId="4" fontId="11" fillId="11" borderId="1" xfId="0" applyNumberFormat="1" applyFont="1" applyFill="1" applyBorder="1"/>
    <xf numFmtId="4" fontId="11" fillId="11" borderId="3" xfId="0" applyNumberFormat="1" applyFont="1" applyFill="1" applyBorder="1"/>
    <xf numFmtId="4" fontId="14" fillId="11" borderId="4" xfId="3" applyNumberFormat="1" applyFont="1" applyFill="1" applyBorder="1"/>
    <xf numFmtId="4" fontId="11" fillId="11" borderId="3" xfId="3" applyNumberFormat="1" applyFont="1" applyFill="1" applyBorder="1"/>
    <xf numFmtId="4" fontId="11" fillId="11" borderId="6" xfId="3" applyNumberFormat="1" applyFont="1" applyFill="1" applyBorder="1"/>
    <xf numFmtId="4" fontId="11" fillId="11" borderId="8" xfId="3" applyNumberFormat="1" applyFont="1" applyFill="1" applyBorder="1"/>
    <xf numFmtId="4" fontId="11" fillId="11" borderId="10" xfId="3" applyNumberFormat="1" applyFont="1" applyFill="1" applyBorder="1"/>
    <xf numFmtId="4" fontId="14" fillId="11" borderId="3" xfId="3" applyNumberFormat="1" applyFont="1" applyFill="1" applyBorder="1"/>
    <xf numFmtId="4" fontId="14" fillId="11" borderId="8" xfId="3" applyNumberFormat="1" applyFont="1" applyFill="1" applyBorder="1"/>
    <xf numFmtId="4" fontId="11" fillId="11" borderId="12" xfId="3" applyNumberFormat="1" applyFont="1" applyFill="1" applyBorder="1"/>
    <xf numFmtId="4" fontId="11" fillId="11" borderId="4" xfId="3" applyNumberFormat="1" applyFont="1" applyFill="1" applyBorder="1"/>
    <xf numFmtId="4" fontId="11" fillId="11" borderId="14" xfId="3" applyNumberFormat="1" applyFont="1" applyFill="1" applyBorder="1"/>
    <xf numFmtId="4" fontId="11" fillId="11" borderId="17" xfId="3" applyNumberFormat="1" applyFont="1" applyFill="1" applyBorder="1"/>
    <xf numFmtId="4" fontId="11" fillId="2" borderId="4" xfId="0" applyNumberFormat="1" applyFont="1" applyFill="1" applyBorder="1"/>
    <xf numFmtId="4" fontId="11" fillId="9" borderId="4" xfId="0" applyNumberFormat="1" applyFont="1" applyFill="1" applyBorder="1"/>
    <xf numFmtId="4" fontId="11" fillId="11" borderId="4" xfId="0" applyNumberFormat="1" applyFont="1" applyFill="1" applyBorder="1"/>
    <xf numFmtId="4" fontId="11" fillId="10" borderId="53" xfId="0" applyNumberFormat="1" applyFont="1" applyFill="1" applyBorder="1"/>
    <xf numFmtId="4" fontId="11" fillId="11" borderId="3" xfId="0" applyNumberFormat="1" applyFont="1" applyFill="1" applyBorder="1" applyAlignment="1">
      <alignment horizontal="right" wrapText="1"/>
    </xf>
    <xf numFmtId="4" fontId="14" fillId="11" borderId="21" xfId="2" applyNumberFormat="1" applyFont="1" applyFill="1" applyBorder="1" applyAlignment="1">
      <alignment horizontal="right"/>
    </xf>
    <xf numFmtId="4" fontId="11" fillId="11" borderId="3" xfId="0" applyNumberFormat="1" applyFont="1" applyFill="1" applyBorder="1" applyAlignment="1">
      <alignment horizontal="right"/>
    </xf>
    <xf numFmtId="4" fontId="11" fillId="11" borderId="8" xfId="2" applyNumberFormat="1" applyFont="1" applyFill="1" applyBorder="1" applyAlignment="1">
      <alignment horizontal="right"/>
    </xf>
    <xf numFmtId="4" fontId="11" fillId="11" borderId="1" xfId="0" applyNumberFormat="1" applyFont="1" applyFill="1" applyBorder="1" applyAlignment="1">
      <alignment horizontal="right"/>
    </xf>
    <xf numFmtId="4" fontId="11" fillId="11" borderId="10" xfId="0" applyNumberFormat="1" applyFont="1" applyFill="1" applyBorder="1" applyAlignment="1">
      <alignment horizontal="right"/>
    </xf>
    <xf numFmtId="4" fontId="14" fillId="11" borderId="8" xfId="0" applyNumberFormat="1" applyFont="1" applyFill="1" applyBorder="1" applyAlignment="1">
      <alignment horizontal="right"/>
    </xf>
    <xf numFmtId="4" fontId="11" fillId="11" borderId="8" xfId="0" applyNumberFormat="1" applyFont="1" applyFill="1" applyBorder="1" applyAlignment="1">
      <alignment horizontal="right"/>
    </xf>
    <xf numFmtId="4" fontId="11" fillId="11" borderId="21" xfId="0" applyNumberFormat="1" applyFont="1" applyFill="1" applyBorder="1" applyAlignment="1">
      <alignment horizontal="right"/>
    </xf>
    <xf numFmtId="4" fontId="14" fillId="11" borderId="31" xfId="0" applyNumberFormat="1" applyFont="1" applyFill="1" applyBorder="1" applyAlignment="1">
      <alignment horizontal="right"/>
    </xf>
    <xf numFmtId="4" fontId="11" fillId="10" borderId="3" xfId="0" applyNumberFormat="1" applyFont="1" applyFill="1" applyBorder="1" applyAlignment="1">
      <alignment horizontal="right" wrapText="1"/>
    </xf>
    <xf numFmtId="4" fontId="14" fillId="10" borderId="21" xfId="2" applyNumberFormat="1" applyFont="1" applyFill="1" applyBorder="1" applyAlignment="1">
      <alignment horizontal="right"/>
    </xf>
    <xf numFmtId="4" fontId="11" fillId="10" borderId="3" xfId="0" applyNumberFormat="1" applyFont="1" applyFill="1" applyBorder="1" applyAlignment="1">
      <alignment horizontal="right"/>
    </xf>
    <xf numFmtId="4" fontId="11" fillId="10" borderId="8" xfId="2" applyNumberFormat="1" applyFont="1" applyFill="1" applyBorder="1" applyAlignment="1">
      <alignment horizontal="right"/>
    </xf>
    <xf numFmtId="4" fontId="11" fillId="10" borderId="1" xfId="0" applyNumberFormat="1" applyFont="1" applyFill="1" applyBorder="1" applyAlignment="1">
      <alignment horizontal="right"/>
    </xf>
    <xf numFmtId="4" fontId="11" fillId="10" borderId="10" xfId="0" applyNumberFormat="1" applyFont="1" applyFill="1" applyBorder="1" applyAlignment="1">
      <alignment horizontal="right"/>
    </xf>
    <xf numFmtId="4" fontId="14" fillId="10" borderId="8" xfId="0" applyNumberFormat="1" applyFont="1" applyFill="1" applyBorder="1" applyAlignment="1">
      <alignment horizontal="right"/>
    </xf>
    <xf numFmtId="4" fontId="11" fillId="10" borderId="8" xfId="0" applyNumberFormat="1" applyFont="1" applyFill="1" applyBorder="1" applyAlignment="1">
      <alignment horizontal="right"/>
    </xf>
    <xf numFmtId="4" fontId="11" fillId="10" borderId="21" xfId="0" applyNumberFormat="1" applyFont="1" applyFill="1" applyBorder="1" applyAlignment="1">
      <alignment horizontal="right"/>
    </xf>
    <xf numFmtId="4" fontId="14" fillId="10" borderId="31" xfId="0" applyNumberFormat="1" applyFont="1" applyFill="1" applyBorder="1" applyAlignment="1">
      <alignment horizontal="right"/>
    </xf>
    <xf numFmtId="4" fontId="11" fillId="9" borderId="3" xfId="0" applyNumberFormat="1" applyFont="1" applyFill="1" applyBorder="1" applyAlignment="1">
      <alignment horizontal="right" wrapText="1"/>
    </xf>
    <xf numFmtId="4" fontId="14" fillId="9" borderId="21" xfId="2" applyNumberFormat="1" applyFont="1" applyFill="1" applyBorder="1" applyAlignment="1">
      <alignment horizontal="right"/>
    </xf>
    <xf numFmtId="4" fontId="11" fillId="9" borderId="3" xfId="0" applyNumberFormat="1" applyFont="1" applyFill="1" applyBorder="1" applyAlignment="1">
      <alignment horizontal="right"/>
    </xf>
    <xf numFmtId="4" fontId="11" fillId="9" borderId="8" xfId="2" applyNumberFormat="1" applyFont="1" applyFill="1" applyBorder="1" applyAlignment="1">
      <alignment horizontal="right"/>
    </xf>
    <xf numFmtId="4" fontId="11" fillId="9" borderId="1" xfId="0" applyNumberFormat="1" applyFont="1" applyFill="1" applyBorder="1" applyAlignment="1">
      <alignment horizontal="right"/>
    </xf>
    <xf numFmtId="4" fontId="11" fillId="9" borderId="10" xfId="0" applyNumberFormat="1" applyFont="1" applyFill="1" applyBorder="1" applyAlignment="1">
      <alignment horizontal="right"/>
    </xf>
    <xf numFmtId="4" fontId="14" fillId="9" borderId="8" xfId="0" applyNumberFormat="1" applyFont="1" applyFill="1" applyBorder="1" applyAlignment="1">
      <alignment horizontal="right"/>
    </xf>
    <xf numFmtId="4" fontId="11" fillId="9" borderId="8" xfId="0" applyNumberFormat="1" applyFont="1" applyFill="1" applyBorder="1" applyAlignment="1">
      <alignment horizontal="right"/>
    </xf>
    <xf numFmtId="4" fontId="11" fillId="9" borderId="21" xfId="0" applyNumberFormat="1" applyFont="1" applyFill="1" applyBorder="1" applyAlignment="1">
      <alignment horizontal="right"/>
    </xf>
    <xf numFmtId="4" fontId="14" fillId="9" borderId="31" xfId="0" applyNumberFormat="1" applyFont="1" applyFill="1" applyBorder="1" applyAlignment="1">
      <alignment horizontal="right"/>
    </xf>
    <xf numFmtId="4" fontId="11" fillId="9" borderId="8" xfId="0" applyNumberFormat="1" applyFont="1" applyFill="1" applyBorder="1"/>
    <xf numFmtId="4" fontId="11" fillId="9" borderId="26" xfId="0" applyNumberFormat="1" applyFont="1" applyFill="1" applyBorder="1"/>
    <xf numFmtId="4" fontId="14" fillId="9" borderId="29" xfId="0" applyNumberFormat="1" applyFont="1" applyFill="1" applyBorder="1"/>
    <xf numFmtId="4" fontId="11" fillId="9" borderId="24" xfId="0" applyNumberFormat="1" applyFont="1" applyFill="1" applyBorder="1"/>
    <xf numFmtId="4" fontId="11" fillId="11" borderId="24" xfId="0" applyNumberFormat="1" applyFont="1" applyFill="1" applyBorder="1"/>
    <xf numFmtId="4" fontId="11" fillId="11" borderId="8" xfId="0" applyNumberFormat="1" applyFont="1" applyFill="1" applyBorder="1"/>
    <xf numFmtId="4" fontId="11" fillId="11" borderId="26" xfId="0" applyNumberFormat="1" applyFont="1" applyFill="1" applyBorder="1"/>
    <xf numFmtId="4" fontId="14" fillId="11" borderId="29" xfId="0" applyNumberFormat="1" applyFont="1" applyFill="1" applyBorder="1"/>
    <xf numFmtId="4" fontId="11" fillId="10" borderId="24" xfId="0" applyNumberFormat="1" applyFont="1" applyFill="1" applyBorder="1"/>
    <xf numFmtId="4" fontId="11" fillId="10" borderId="8" xfId="0" applyNumberFormat="1" applyFont="1" applyFill="1" applyBorder="1"/>
    <xf numFmtId="4" fontId="11" fillId="10" borderId="26" xfId="0" applyNumberFormat="1" applyFont="1" applyFill="1" applyBorder="1"/>
    <xf numFmtId="4" fontId="14" fillId="10" borderId="29" xfId="0" applyNumberFormat="1" applyFont="1" applyFill="1" applyBorder="1"/>
    <xf numFmtId="4" fontId="11" fillId="0" borderId="54" xfId="3" applyNumberFormat="1" applyFont="1" applyFill="1" applyBorder="1"/>
    <xf numFmtId="4" fontId="11" fillId="0" borderId="56" xfId="3" applyNumberFormat="1" applyFont="1" applyFill="1" applyBorder="1"/>
    <xf numFmtId="4" fontId="14" fillId="0" borderId="57" xfId="3" applyNumberFormat="1" applyFont="1" applyFill="1" applyBorder="1" applyAlignment="1">
      <alignment horizontal="right" vertical="center"/>
    </xf>
    <xf numFmtId="4" fontId="11" fillId="0" borderId="58" xfId="3" applyNumberFormat="1" applyFont="1" applyFill="1" applyBorder="1"/>
    <xf numFmtId="4" fontId="25" fillId="0" borderId="48" xfId="3" applyNumberFormat="1" applyFont="1" applyFill="1" applyBorder="1" applyAlignment="1">
      <alignment horizontal="right" vertical="center"/>
    </xf>
    <xf numFmtId="4" fontId="26" fillId="0" borderId="55" xfId="3" applyNumberFormat="1" applyFont="1" applyFill="1" applyBorder="1"/>
    <xf numFmtId="4" fontId="11" fillId="0" borderId="54" xfId="0" applyNumberFormat="1" applyFont="1" applyFill="1" applyBorder="1" applyAlignment="1">
      <alignment vertical="center"/>
    </xf>
    <xf numFmtId="4" fontId="11" fillId="0" borderId="58" xfId="0" applyNumberFormat="1" applyFont="1" applyFill="1" applyBorder="1" applyAlignment="1">
      <alignment vertical="center"/>
    </xf>
    <xf numFmtId="4" fontId="11" fillId="0" borderId="56" xfId="0" applyNumberFormat="1" applyFont="1" applyFill="1" applyBorder="1" applyAlignment="1">
      <alignment vertical="center"/>
    </xf>
    <xf numFmtId="4" fontId="14" fillId="0" borderId="57" xfId="0" applyNumberFormat="1" applyFont="1" applyFill="1" applyBorder="1" applyAlignment="1">
      <alignment vertical="center"/>
    </xf>
    <xf numFmtId="4" fontId="11" fillId="0" borderId="59" xfId="0" applyNumberFormat="1" applyFont="1" applyFill="1" applyBorder="1" applyAlignment="1">
      <alignment vertical="center"/>
    </xf>
    <xf numFmtId="4" fontId="25" fillId="0" borderId="60" xfId="0" applyNumberFormat="1" applyFont="1" applyFill="1" applyBorder="1" applyAlignment="1">
      <alignment vertical="center"/>
    </xf>
    <xf numFmtId="4" fontId="11" fillId="0" borderId="54" xfId="0" applyNumberFormat="1" applyFont="1" applyFill="1" applyBorder="1"/>
    <xf numFmtId="4" fontId="26" fillId="0" borderId="58" xfId="0" applyNumberFormat="1" applyFont="1" applyFill="1" applyBorder="1"/>
    <xf numFmtId="4" fontId="11" fillId="0" borderId="58" xfId="0" applyNumberFormat="1" applyFont="1" applyFill="1" applyBorder="1"/>
    <xf numFmtId="4" fontId="11" fillId="0" borderId="61" xfId="3" applyNumberFormat="1" applyFont="1" applyFill="1" applyBorder="1"/>
    <xf numFmtId="4" fontId="11" fillId="0" borderId="20" xfId="3" applyNumberFormat="1" applyFont="1" applyFill="1" applyBorder="1"/>
    <xf numFmtId="4" fontId="14" fillId="0" borderId="21" xfId="3" applyNumberFormat="1" applyFont="1" applyFill="1" applyBorder="1" applyAlignment="1">
      <alignment horizontal="right" vertical="center"/>
    </xf>
    <xf numFmtId="4" fontId="11" fillId="0" borderId="52" xfId="3" applyNumberFormat="1" applyFont="1" applyFill="1" applyBorder="1"/>
    <xf numFmtId="4" fontId="11" fillId="0" borderId="63" xfId="3" applyNumberFormat="1" applyFont="1" applyFill="1" applyBorder="1"/>
    <xf numFmtId="4" fontId="11" fillId="6" borderId="50" xfId="3" applyNumberFormat="1" applyFont="1" applyFill="1" applyBorder="1"/>
    <xf numFmtId="4" fontId="14" fillId="6" borderId="9" xfId="3" applyNumberFormat="1" applyFont="1" applyFill="1" applyBorder="1" applyAlignment="1">
      <alignment horizontal="right" vertical="center"/>
    </xf>
    <xf numFmtId="4" fontId="25" fillId="6" borderId="7" xfId="3" applyNumberFormat="1" applyFont="1" applyFill="1" applyBorder="1" applyAlignment="1">
      <alignment horizontal="right" vertical="center"/>
    </xf>
    <xf numFmtId="4" fontId="26" fillId="6" borderId="32" xfId="3" applyNumberFormat="1" applyFont="1" applyFill="1" applyBorder="1"/>
    <xf numFmtId="4" fontId="26" fillId="0" borderId="62" xfId="3" applyNumberFormat="1" applyFont="1" applyFill="1" applyBorder="1"/>
    <xf numFmtId="4" fontId="25" fillId="0" borderId="6" xfId="3" applyNumberFormat="1" applyFont="1" applyFill="1" applyBorder="1" applyAlignment="1">
      <alignment horizontal="right" vertical="center"/>
    </xf>
    <xf numFmtId="4" fontId="26" fillId="0" borderId="3" xfId="0" applyNumberFormat="1" applyFont="1" applyFill="1" applyBorder="1"/>
    <xf numFmtId="0" fontId="11" fillId="0" borderId="16" xfId="0" applyFont="1" applyFill="1" applyBorder="1"/>
    <xf numFmtId="4" fontId="25" fillId="0" borderId="55" xfId="0" applyNumberFormat="1" applyFont="1" applyFill="1" applyBorder="1"/>
    <xf numFmtId="4" fontId="25" fillId="0" borderId="62" xfId="0" applyNumberFormat="1" applyFont="1" applyFill="1" applyBorder="1"/>
    <xf numFmtId="4" fontId="11" fillId="0" borderId="64" xfId="0" applyNumberFormat="1" applyFont="1" applyFill="1" applyBorder="1"/>
    <xf numFmtId="4" fontId="11" fillId="0" borderId="65" xfId="0" applyNumberFormat="1" applyFont="1" applyFill="1" applyBorder="1"/>
    <xf numFmtId="4" fontId="25" fillId="0" borderId="62" xfId="0" applyNumberFormat="1" applyFont="1" applyFill="1" applyBorder="1" applyAlignment="1">
      <alignment vertical="center"/>
    </xf>
    <xf numFmtId="4" fontId="11" fillId="0" borderId="63" xfId="0" applyNumberFormat="1" applyFont="1" applyFill="1" applyBorder="1" applyAlignment="1">
      <alignment vertical="center"/>
    </xf>
    <xf numFmtId="4" fontId="11" fillId="6" borderId="25" xfId="3" applyNumberFormat="1" applyFont="1" applyFill="1" applyBorder="1" applyAlignment="1">
      <alignment vertical="center"/>
    </xf>
    <xf numFmtId="4" fontId="11" fillId="6" borderId="11" xfId="3" applyNumberFormat="1" applyFont="1" applyFill="1" applyBorder="1" applyAlignment="1">
      <alignment vertical="center"/>
    </xf>
    <xf numFmtId="4" fontId="11" fillId="6" borderId="2" xfId="3" applyNumberFormat="1" applyFont="1" applyFill="1" applyBorder="1" applyAlignment="1">
      <alignment vertical="center"/>
    </xf>
    <xf numFmtId="4" fontId="11" fillId="6" borderId="50" xfId="3" applyNumberFormat="1" applyFont="1" applyFill="1" applyBorder="1" applyAlignment="1">
      <alignment vertical="center"/>
    </xf>
    <xf numFmtId="4" fontId="14" fillId="6" borderId="9" xfId="3" applyNumberFormat="1" applyFont="1" applyFill="1" applyBorder="1" applyAlignment="1">
      <alignment vertical="center"/>
    </xf>
    <xf numFmtId="4" fontId="25" fillId="6" borderId="30" xfId="3" applyNumberFormat="1" applyFont="1" applyFill="1" applyBorder="1" applyAlignment="1">
      <alignment vertical="center"/>
    </xf>
    <xf numFmtId="4" fontId="11" fillId="8" borderId="25" xfId="0" applyNumberFormat="1" applyFont="1" applyFill="1" applyBorder="1"/>
    <xf numFmtId="4" fontId="26" fillId="8" borderId="2" xfId="0" applyNumberFormat="1" applyFont="1" applyFill="1" applyBorder="1"/>
    <xf numFmtId="4" fontId="11" fillId="8" borderId="2" xfId="0" applyNumberFormat="1" applyFont="1" applyFill="1" applyBorder="1"/>
    <xf numFmtId="4" fontId="25" fillId="8" borderId="30" xfId="0" applyNumberFormat="1" applyFont="1" applyFill="1" applyBorder="1"/>
    <xf numFmtId="4" fontId="27" fillId="3" borderId="3" xfId="0" applyNumberFormat="1" applyFont="1" applyFill="1" applyBorder="1" applyAlignment="1">
      <alignment horizontal="right"/>
    </xf>
    <xf numFmtId="4" fontId="11" fillId="12" borderId="3" xfId="0" applyNumberFormat="1" applyFont="1" applyFill="1" applyBorder="1" applyAlignment="1">
      <alignment horizontal="center"/>
    </xf>
    <xf numFmtId="4" fontId="11" fillId="12" borderId="3" xfId="0" applyNumberFormat="1" applyFont="1" applyFill="1" applyBorder="1"/>
    <xf numFmtId="4" fontId="14" fillId="12" borderId="4" xfId="3" applyNumberFormat="1" applyFont="1" applyFill="1" applyBorder="1"/>
    <xf numFmtId="4" fontId="11" fillId="12" borderId="3" xfId="3" applyNumberFormat="1" applyFont="1" applyFill="1" applyBorder="1"/>
    <xf numFmtId="4" fontId="11" fillId="12" borderId="6" xfId="3" applyNumberFormat="1" applyFont="1" applyFill="1" applyBorder="1"/>
    <xf numFmtId="4" fontId="11" fillId="12" borderId="8" xfId="3" applyNumberFormat="1" applyFont="1" applyFill="1" applyBorder="1"/>
    <xf numFmtId="4" fontId="11" fillId="12" borderId="10" xfId="3" applyNumberFormat="1" applyFont="1" applyFill="1" applyBorder="1"/>
    <xf numFmtId="4" fontId="14" fillId="12" borderId="3" xfId="3" applyNumberFormat="1" applyFont="1" applyFill="1" applyBorder="1"/>
    <xf numFmtId="4" fontId="14" fillId="12" borderId="8" xfId="3" applyNumberFormat="1" applyFont="1" applyFill="1" applyBorder="1"/>
    <xf numFmtId="4" fontId="11" fillId="12" borderId="12" xfId="3" applyNumberFormat="1" applyFont="1" applyFill="1" applyBorder="1"/>
    <xf numFmtId="4" fontId="11" fillId="12" borderId="4" xfId="3" applyNumberFormat="1" applyFont="1" applyFill="1" applyBorder="1"/>
    <xf numFmtId="4" fontId="11" fillId="12" borderId="60" xfId="3" applyNumberFormat="1" applyFont="1" applyFill="1" applyBorder="1"/>
    <xf numFmtId="4" fontId="11" fillId="12" borderId="3" xfId="0" applyNumberFormat="1" applyFont="1" applyFill="1" applyBorder="1" applyAlignment="1">
      <alignment horizontal="right" wrapText="1"/>
    </xf>
    <xf numFmtId="4" fontId="14" fillId="12" borderId="21" xfId="2" applyNumberFormat="1" applyFont="1" applyFill="1" applyBorder="1" applyAlignment="1">
      <alignment horizontal="right"/>
    </xf>
    <xf numFmtId="4" fontId="11" fillId="12" borderId="3" xfId="0" applyNumberFormat="1" applyFont="1" applyFill="1" applyBorder="1" applyAlignment="1">
      <alignment horizontal="right"/>
    </xf>
    <xf numFmtId="4" fontId="11" fillId="12" borderId="21" xfId="0" applyNumberFormat="1" applyFont="1" applyFill="1" applyBorder="1" applyAlignment="1">
      <alignment horizontal="right"/>
    </xf>
    <xf numFmtId="4" fontId="11" fillId="12" borderId="8" xfId="2" applyNumberFormat="1" applyFont="1" applyFill="1" applyBorder="1" applyAlignment="1">
      <alignment horizontal="right"/>
    </xf>
    <xf numFmtId="4" fontId="11" fillId="12" borderId="1" xfId="0" applyNumberFormat="1" applyFont="1" applyFill="1" applyBorder="1" applyAlignment="1">
      <alignment horizontal="right"/>
    </xf>
    <xf numFmtId="4" fontId="11" fillId="12" borderId="10" xfId="0" applyNumberFormat="1" applyFont="1" applyFill="1" applyBorder="1" applyAlignment="1">
      <alignment horizontal="right"/>
    </xf>
    <xf numFmtId="4" fontId="14" fillId="12" borderId="8" xfId="0" applyNumberFormat="1" applyFont="1" applyFill="1" applyBorder="1" applyAlignment="1">
      <alignment horizontal="right"/>
    </xf>
    <xf numFmtId="4" fontId="11" fillId="12" borderId="8" xfId="0" applyNumberFormat="1" applyFont="1" applyFill="1" applyBorder="1" applyAlignment="1">
      <alignment horizontal="right"/>
    </xf>
    <xf numFmtId="4" fontId="14" fillId="12" borderId="31" xfId="0" applyNumberFormat="1" applyFont="1" applyFill="1" applyBorder="1" applyAlignment="1">
      <alignment horizontal="right"/>
    </xf>
    <xf numFmtId="4" fontId="11" fillId="12" borderId="24" xfId="0" applyNumberFormat="1" applyFont="1" applyFill="1" applyBorder="1"/>
    <xf numFmtId="4" fontId="11" fillId="12" borderId="8" xfId="0" applyNumberFormat="1" applyFont="1" applyFill="1" applyBorder="1"/>
    <xf numFmtId="4" fontId="11" fillId="12" borderId="1" xfId="0" applyNumberFormat="1" applyFont="1" applyFill="1" applyBorder="1"/>
    <xf numFmtId="4" fontId="11" fillId="12" borderId="26" xfId="0" applyNumberFormat="1" applyFont="1" applyFill="1" applyBorder="1"/>
    <xf numFmtId="4" fontId="14" fillId="12" borderId="29" xfId="0" applyNumberFormat="1" applyFont="1" applyFill="1" applyBorder="1"/>
    <xf numFmtId="4" fontId="19" fillId="3" borderId="3" xfId="0" applyNumberFormat="1" applyFont="1" applyFill="1" applyBorder="1"/>
    <xf numFmtId="4" fontId="19" fillId="5" borderId="3" xfId="0" applyNumberFormat="1" applyFont="1" applyFill="1" applyBorder="1"/>
    <xf numFmtId="4" fontId="19" fillId="11" borderId="3" xfId="0" applyNumberFormat="1" applyFont="1" applyFill="1" applyBorder="1"/>
    <xf numFmtId="4" fontId="19" fillId="10" borderId="3" xfId="0" applyNumberFormat="1" applyFont="1" applyFill="1" applyBorder="1"/>
    <xf numFmtId="4" fontId="19" fillId="4" borderId="3" xfId="0" applyNumberFormat="1" applyFont="1" applyFill="1" applyBorder="1"/>
    <xf numFmtId="4" fontId="14" fillId="3" borderId="3" xfId="0" applyNumberFormat="1" applyFont="1" applyFill="1" applyBorder="1" applyAlignment="1">
      <alignment horizontal="right"/>
    </xf>
    <xf numFmtId="4" fontId="14" fillId="3" borderId="3" xfId="0" applyNumberFormat="1" applyFont="1" applyFill="1" applyBorder="1"/>
    <xf numFmtId="4" fontId="14" fillId="5" borderId="3" xfId="0" applyNumberFormat="1" applyFont="1" applyFill="1" applyBorder="1"/>
    <xf numFmtId="4" fontId="14" fillId="10" borderId="3" xfId="0" applyNumberFormat="1" applyFont="1" applyFill="1" applyBorder="1"/>
    <xf numFmtId="4" fontId="14" fillId="4" borderId="3" xfId="0" applyNumberFormat="1" applyFont="1" applyFill="1" applyBorder="1"/>
    <xf numFmtId="4" fontId="14" fillId="0" borderId="12" xfId="3" applyNumberFormat="1" applyFont="1" applyFill="1" applyBorder="1"/>
    <xf numFmtId="4" fontId="14" fillId="0" borderId="14" xfId="3" applyNumberFormat="1" applyFont="1" applyFill="1" applyBorder="1"/>
    <xf numFmtId="4" fontId="19" fillId="9" borderId="3" xfId="0" applyNumberFormat="1" applyFont="1" applyFill="1" applyBorder="1"/>
    <xf numFmtId="4" fontId="28" fillId="5" borderId="3" xfId="0" applyNumberFormat="1" applyFont="1" applyFill="1" applyBorder="1" applyAlignment="1">
      <alignment horizontal="right"/>
    </xf>
    <xf numFmtId="4" fontId="11" fillId="13" borderId="3" xfId="0" applyNumberFormat="1" applyFont="1" applyFill="1" applyBorder="1" applyAlignment="1">
      <alignment horizontal="center"/>
    </xf>
    <xf numFmtId="4" fontId="11" fillId="13" borderId="3" xfId="0" applyNumberFormat="1" applyFont="1" applyFill="1" applyBorder="1"/>
    <xf numFmtId="4" fontId="14" fillId="13" borderId="4" xfId="3" applyNumberFormat="1" applyFont="1" applyFill="1" applyBorder="1"/>
    <xf numFmtId="4" fontId="11" fillId="13" borderId="3" xfId="3" applyNumberFormat="1" applyFont="1" applyFill="1" applyBorder="1"/>
    <xf numFmtId="4" fontId="11" fillId="13" borderId="6" xfId="3" applyNumberFormat="1" applyFont="1" applyFill="1" applyBorder="1"/>
    <xf numFmtId="4" fontId="11" fillId="13" borderId="8" xfId="3" applyNumberFormat="1" applyFont="1" applyFill="1" applyBorder="1"/>
    <xf numFmtId="4" fontId="11" fillId="13" borderId="10" xfId="3" applyNumberFormat="1" applyFont="1" applyFill="1" applyBorder="1"/>
    <xf numFmtId="4" fontId="14" fillId="13" borderId="3" xfId="3" applyNumberFormat="1" applyFont="1" applyFill="1" applyBorder="1"/>
    <xf numFmtId="4" fontId="14" fillId="13" borderId="8" xfId="3" applyNumberFormat="1" applyFont="1" applyFill="1" applyBorder="1"/>
    <xf numFmtId="4" fontId="11" fillId="13" borderId="12" xfId="3" applyNumberFormat="1" applyFont="1" applyFill="1" applyBorder="1"/>
    <xf numFmtId="4" fontId="11" fillId="13" borderId="4" xfId="3" applyNumberFormat="1" applyFont="1" applyFill="1" applyBorder="1"/>
    <xf numFmtId="4" fontId="11" fillId="13" borderId="60" xfId="3" applyNumberFormat="1" applyFont="1" applyFill="1" applyBorder="1"/>
    <xf numFmtId="4" fontId="14" fillId="13" borderId="14" xfId="3" applyNumberFormat="1" applyFont="1" applyFill="1" applyBorder="1"/>
    <xf numFmtId="4" fontId="14" fillId="12" borderId="14" xfId="3" applyNumberFormat="1" applyFont="1" applyFill="1" applyBorder="1"/>
    <xf numFmtId="4" fontId="11" fillId="13" borderId="3" xfId="0" applyNumberFormat="1" applyFont="1" applyFill="1" applyBorder="1" applyAlignment="1">
      <alignment horizontal="right" wrapText="1"/>
    </xf>
    <xf numFmtId="4" fontId="14" fillId="13" borderId="21" xfId="2" applyNumberFormat="1" applyFont="1" applyFill="1" applyBorder="1" applyAlignment="1">
      <alignment horizontal="right"/>
    </xf>
    <xf numFmtId="4" fontId="11" fillId="13" borderId="3" xfId="0" applyNumberFormat="1" applyFont="1" applyFill="1" applyBorder="1" applyAlignment="1">
      <alignment horizontal="right"/>
    </xf>
    <xf numFmtId="4" fontId="11" fillId="13" borderId="8" xfId="2" applyNumberFormat="1" applyFont="1" applyFill="1" applyBorder="1" applyAlignment="1">
      <alignment horizontal="right"/>
    </xf>
    <xf numFmtId="4" fontId="11" fillId="13" borderId="1" xfId="0" applyNumberFormat="1" applyFont="1" applyFill="1" applyBorder="1" applyAlignment="1">
      <alignment horizontal="right"/>
    </xf>
    <xf numFmtId="4" fontId="11" fillId="13" borderId="10" xfId="0" applyNumberFormat="1" applyFont="1" applyFill="1" applyBorder="1" applyAlignment="1">
      <alignment horizontal="right"/>
    </xf>
    <xf numFmtId="4" fontId="14" fillId="13" borderId="8" xfId="0" applyNumberFormat="1" applyFont="1" applyFill="1" applyBorder="1" applyAlignment="1">
      <alignment horizontal="right"/>
    </xf>
    <xf numFmtId="4" fontId="11" fillId="13" borderId="8" xfId="0" applyNumberFormat="1" applyFont="1" applyFill="1" applyBorder="1" applyAlignment="1">
      <alignment horizontal="right"/>
    </xf>
    <xf numFmtId="4" fontId="11" fillId="13" borderId="21" xfId="0" applyNumberFormat="1" applyFont="1" applyFill="1" applyBorder="1" applyAlignment="1">
      <alignment horizontal="right"/>
    </xf>
    <xf numFmtId="4" fontId="14" fillId="13" borderId="31" xfId="0" applyNumberFormat="1" applyFont="1" applyFill="1" applyBorder="1" applyAlignment="1">
      <alignment horizontal="right"/>
    </xf>
    <xf numFmtId="4" fontId="11" fillId="13" borderId="24" xfId="0" applyNumberFormat="1" applyFont="1" applyFill="1" applyBorder="1"/>
    <xf numFmtId="4" fontId="11" fillId="13" borderId="8" xfId="0" applyNumberFormat="1" applyFont="1" applyFill="1" applyBorder="1"/>
    <xf numFmtId="4" fontId="11" fillId="13" borderId="1" xfId="0" applyNumberFormat="1" applyFont="1" applyFill="1" applyBorder="1"/>
    <xf numFmtId="4" fontId="11" fillId="13" borderId="26" xfId="0" applyNumberFormat="1" applyFont="1" applyFill="1" applyBorder="1"/>
    <xf numFmtId="4" fontId="14" fillId="13" borderId="29" xfId="0" applyNumberFormat="1" applyFont="1" applyFill="1" applyBorder="1"/>
    <xf numFmtId="4" fontId="28" fillId="10" borderId="3" xfId="0" applyNumberFormat="1" applyFont="1" applyFill="1" applyBorder="1" applyAlignment="1">
      <alignment horizontal="right" wrapText="1"/>
    </xf>
    <xf numFmtId="4" fontId="29" fillId="10" borderId="3" xfId="0" applyNumberFormat="1" applyFont="1" applyFill="1" applyBorder="1" applyAlignment="1">
      <alignment horizontal="right" wrapText="1"/>
    </xf>
    <xf numFmtId="4" fontId="11" fillId="14" borderId="3" xfId="0" applyNumberFormat="1" applyFont="1" applyFill="1" applyBorder="1" applyAlignment="1">
      <alignment horizontal="center"/>
    </xf>
    <xf numFmtId="4" fontId="11" fillId="14" borderId="3" xfId="0" applyNumberFormat="1" applyFont="1" applyFill="1" applyBorder="1"/>
    <xf numFmtId="4" fontId="14" fillId="14" borderId="4" xfId="3" applyNumberFormat="1" applyFont="1" applyFill="1" applyBorder="1"/>
    <xf numFmtId="4" fontId="11" fillId="14" borderId="3" xfId="3" applyNumberFormat="1" applyFont="1" applyFill="1" applyBorder="1"/>
    <xf numFmtId="4" fontId="11" fillId="14" borderId="6" xfId="3" applyNumberFormat="1" applyFont="1" applyFill="1" applyBorder="1"/>
    <xf numFmtId="4" fontId="11" fillId="14" borderId="8" xfId="3" applyNumberFormat="1" applyFont="1" applyFill="1" applyBorder="1"/>
    <xf numFmtId="4" fontId="11" fillId="14" borderId="10" xfId="3" applyNumberFormat="1" applyFont="1" applyFill="1" applyBorder="1"/>
    <xf numFmtId="4" fontId="14" fillId="14" borderId="3" xfId="3" applyNumberFormat="1" applyFont="1" applyFill="1" applyBorder="1"/>
    <xf numFmtId="4" fontId="14" fillId="14" borderId="8" xfId="3" applyNumberFormat="1" applyFont="1" applyFill="1" applyBorder="1"/>
    <xf numFmtId="4" fontId="11" fillId="14" borderId="12" xfId="3" applyNumberFormat="1" applyFont="1" applyFill="1" applyBorder="1"/>
    <xf numFmtId="4" fontId="11" fillId="14" borderId="4" xfId="3" applyNumberFormat="1" applyFont="1" applyFill="1" applyBorder="1"/>
    <xf numFmtId="4" fontId="14" fillId="14" borderId="14" xfId="3" applyNumberFormat="1" applyFont="1" applyFill="1" applyBorder="1"/>
    <xf numFmtId="4" fontId="11" fillId="14" borderId="60" xfId="3" applyNumberFormat="1" applyFont="1" applyFill="1" applyBorder="1"/>
    <xf numFmtId="4" fontId="11" fillId="14" borderId="3" xfId="0" applyNumberFormat="1" applyFont="1" applyFill="1" applyBorder="1" applyAlignment="1">
      <alignment horizontal="right" wrapText="1"/>
    </xf>
    <xf numFmtId="4" fontId="14" fillId="14" borderId="21" xfId="2" applyNumberFormat="1" applyFont="1" applyFill="1" applyBorder="1" applyAlignment="1">
      <alignment horizontal="right"/>
    </xf>
    <xf numFmtId="4" fontId="11" fillId="14" borderId="3" xfId="0" applyNumberFormat="1" applyFont="1" applyFill="1" applyBorder="1" applyAlignment="1">
      <alignment horizontal="right"/>
    </xf>
    <xf numFmtId="4" fontId="11" fillId="14" borderId="8" xfId="2" applyNumberFormat="1" applyFont="1" applyFill="1" applyBorder="1" applyAlignment="1">
      <alignment horizontal="right"/>
    </xf>
    <xf numFmtId="4" fontId="11" fillId="14" borderId="1" xfId="0" applyNumberFormat="1" applyFont="1" applyFill="1" applyBorder="1" applyAlignment="1">
      <alignment horizontal="right"/>
    </xf>
    <xf numFmtId="4" fontId="11" fillId="14" borderId="10" xfId="0" applyNumberFormat="1" applyFont="1" applyFill="1" applyBorder="1" applyAlignment="1">
      <alignment horizontal="right"/>
    </xf>
    <xf numFmtId="4" fontId="14" fillId="14" borderId="8" xfId="0" applyNumberFormat="1" applyFont="1" applyFill="1" applyBorder="1" applyAlignment="1">
      <alignment horizontal="right"/>
    </xf>
    <xf numFmtId="4" fontId="11" fillId="14" borderId="8" xfId="0" applyNumberFormat="1" applyFont="1" applyFill="1" applyBorder="1" applyAlignment="1">
      <alignment horizontal="right"/>
    </xf>
    <xf numFmtId="4" fontId="11" fillId="14" borderId="21" xfId="0" applyNumberFormat="1" applyFont="1" applyFill="1" applyBorder="1" applyAlignment="1">
      <alignment horizontal="right"/>
    </xf>
    <xf numFmtId="4" fontId="14" fillId="14" borderId="31" xfId="0" applyNumberFormat="1" applyFont="1" applyFill="1" applyBorder="1" applyAlignment="1">
      <alignment horizontal="right"/>
    </xf>
    <xf numFmtId="4" fontId="11" fillId="14" borderId="24" xfId="0" applyNumberFormat="1" applyFont="1" applyFill="1" applyBorder="1"/>
    <xf numFmtId="4" fontId="11" fillId="14" borderId="8" xfId="0" applyNumberFormat="1" applyFont="1" applyFill="1" applyBorder="1"/>
    <xf numFmtId="4" fontId="11" fillId="14" borderId="1" xfId="0" applyNumberFormat="1" applyFont="1" applyFill="1" applyBorder="1"/>
    <xf numFmtId="4" fontId="11" fillId="14" borderId="26" xfId="0" applyNumberFormat="1" applyFont="1" applyFill="1" applyBorder="1"/>
    <xf numFmtId="4" fontId="14" fillId="14" borderId="29" xfId="0" applyNumberFormat="1" applyFont="1" applyFill="1" applyBorder="1"/>
    <xf numFmtId="4" fontId="28" fillId="9" borderId="3" xfId="0" applyNumberFormat="1" applyFont="1" applyFill="1" applyBorder="1" applyAlignment="1">
      <alignment horizontal="right" wrapText="1"/>
    </xf>
    <xf numFmtId="4" fontId="28" fillId="11" borderId="3" xfId="0" applyNumberFormat="1" applyFont="1" applyFill="1" applyBorder="1" applyAlignment="1">
      <alignment horizontal="right" wrapText="1"/>
    </xf>
    <xf numFmtId="4" fontId="28" fillId="4" borderId="3" xfId="0" applyNumberFormat="1" applyFont="1" applyFill="1" applyBorder="1" applyAlignment="1">
      <alignment horizontal="right"/>
    </xf>
    <xf numFmtId="4" fontId="19" fillId="11" borderId="3" xfId="0" applyNumberFormat="1" applyFont="1" applyFill="1" applyBorder="1" applyAlignment="1">
      <alignment horizontal="right" wrapText="1"/>
    </xf>
    <xf numFmtId="4" fontId="30" fillId="11" borderId="3" xfId="0" applyNumberFormat="1" applyFont="1" applyFill="1" applyBorder="1"/>
    <xf numFmtId="0" fontId="11" fillId="0" borderId="1" xfId="0" applyFont="1" applyFill="1" applyBorder="1"/>
    <xf numFmtId="0" fontId="23" fillId="7" borderId="3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23" fillId="7" borderId="39" xfId="0" applyFont="1" applyFill="1" applyBorder="1" applyAlignment="1">
      <alignment horizontal="center" vertical="center" wrapText="1"/>
    </xf>
    <xf numFmtId="0" fontId="23" fillId="7" borderId="40" xfId="0" applyFont="1" applyFill="1" applyBorder="1" applyAlignment="1">
      <alignment horizontal="center" vertical="center" wrapText="1"/>
    </xf>
    <xf numFmtId="0" fontId="23" fillId="7" borderId="41" xfId="0" applyFont="1" applyFill="1" applyBorder="1" applyAlignment="1">
      <alignment horizontal="center" vertical="center" wrapText="1"/>
    </xf>
    <xf numFmtId="0" fontId="23" fillId="7" borderId="33" xfId="0" applyFont="1" applyFill="1" applyBorder="1" applyAlignment="1">
      <alignment horizontal="center" vertical="center"/>
    </xf>
    <xf numFmtId="0" fontId="23" fillId="7" borderId="34" xfId="0" applyFont="1" applyFill="1" applyBorder="1" applyAlignment="1">
      <alignment horizontal="center" vertical="center"/>
    </xf>
    <xf numFmtId="0" fontId="23" fillId="7" borderId="35" xfId="0" applyFont="1" applyFill="1" applyBorder="1" applyAlignment="1">
      <alignment horizontal="center" vertical="center"/>
    </xf>
    <xf numFmtId="0" fontId="23" fillId="7" borderId="36" xfId="0" applyFont="1" applyFill="1" applyBorder="1" applyAlignment="1">
      <alignment horizontal="center" vertical="center"/>
    </xf>
    <xf numFmtId="0" fontId="23" fillId="7" borderId="16" xfId="0" applyFont="1" applyFill="1" applyBorder="1" applyAlignment="1">
      <alignment horizontal="center" vertical="center"/>
    </xf>
    <xf numFmtId="0" fontId="23" fillId="7" borderId="37" xfId="0" applyFont="1" applyFill="1" applyBorder="1" applyAlignment="1">
      <alignment horizontal="center" vertical="center"/>
    </xf>
    <xf numFmtId="0" fontId="23" fillId="7" borderId="33" xfId="0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0" fontId="23" fillId="7" borderId="36" xfId="0" applyFont="1" applyFill="1" applyBorder="1" applyAlignment="1">
      <alignment horizontal="center" vertical="center" wrapText="1"/>
    </xf>
    <xf numFmtId="0" fontId="23" fillId="7" borderId="16" xfId="0" applyFont="1" applyFill="1" applyBorder="1" applyAlignment="1">
      <alignment horizontal="center" vertical="center" wrapText="1"/>
    </xf>
    <xf numFmtId="0" fontId="23" fillId="7" borderId="37" xfId="0" applyFont="1" applyFill="1" applyBorder="1" applyAlignment="1">
      <alignment horizontal="center" vertical="center" wrapText="1"/>
    </xf>
  </cellXfs>
  <cellStyles count="9">
    <cellStyle name="Euro" xfId="1"/>
    <cellStyle name="Migliaia" xfId="5" builtinId="3"/>
    <cellStyle name="Migliaia [0] 2" xfId="2"/>
    <cellStyle name="Migliaia [0] 3" xfId="3"/>
    <cellStyle name="Normale" xfId="0" builtinId="0"/>
    <cellStyle name="Normale 2" xfId="7"/>
    <cellStyle name="Normale 2 2" xfId="6"/>
    <cellStyle name="Normale 3" xfId="4"/>
    <cellStyle name="Normale 3 2" xfId="8"/>
  </cellStyles>
  <dxfs count="0"/>
  <tableStyles count="0" defaultTableStyle="TableStyleMedium9" defaultPivotStyle="PivotStyleLight16"/>
  <colors>
    <mruColors>
      <color rgb="FFEAF0F6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81"/>
  <sheetViews>
    <sheetView showGridLines="0" topLeftCell="A40" zoomScaleNormal="100" workbookViewId="0">
      <pane xSplit="10" topLeftCell="K1" activePane="topRight" state="frozen"/>
      <selection pane="topRight" activeCell="F64" sqref="F64"/>
    </sheetView>
  </sheetViews>
  <sheetFormatPr defaultColWidth="9.140625" defaultRowHeight="12.75" x14ac:dyDescent="0.2"/>
  <cols>
    <col min="1" max="2" width="4.5703125" style="83" customWidth="1"/>
    <col min="3" max="3" width="59.5703125" style="3" customWidth="1"/>
    <col min="4" max="4" width="13.7109375" style="3" customWidth="1"/>
    <col min="5" max="5" width="13.42578125" style="3" hidden="1" customWidth="1"/>
    <col min="6" max="6" width="14.28515625" style="3" customWidth="1"/>
    <col min="7" max="9" width="12.5703125" style="3" customWidth="1"/>
    <col min="10" max="10" width="12.7109375" style="3" hidden="1" customWidth="1"/>
    <col min="11" max="11" width="13" style="3" hidden="1" customWidth="1"/>
    <col min="12" max="12" width="13.5703125" style="3" hidden="1" customWidth="1"/>
    <col min="13" max="13" width="13.7109375" style="3" hidden="1" customWidth="1"/>
    <col min="14" max="14" width="13.85546875" style="3" customWidth="1"/>
    <col min="15" max="15" width="14" style="3" customWidth="1"/>
    <col min="16" max="25" width="13.7109375" style="3" customWidth="1"/>
    <col min="26" max="27" width="11.5703125" style="3" hidden="1" customWidth="1"/>
    <col min="28" max="34" width="13.7109375" style="3" hidden="1" customWidth="1"/>
    <col min="35" max="35" width="14.5703125" style="3" customWidth="1"/>
    <col min="36" max="16384" width="9.140625" style="3"/>
  </cols>
  <sheetData>
    <row r="1" spans="1:35" ht="14.45" customHeight="1" thickTop="1" x14ac:dyDescent="0.2">
      <c r="A1" s="577" t="s">
        <v>162</v>
      </c>
      <c r="B1" s="578"/>
      <c r="C1" s="579"/>
      <c r="D1" s="572" t="s">
        <v>235</v>
      </c>
      <c r="E1" s="572"/>
      <c r="F1" s="572" t="s">
        <v>236</v>
      </c>
      <c r="G1" s="572" t="s">
        <v>237</v>
      </c>
      <c r="H1" s="572" t="s">
        <v>238</v>
      </c>
      <c r="I1" s="572" t="s">
        <v>239</v>
      </c>
      <c r="J1" s="572"/>
      <c r="K1" s="572"/>
      <c r="L1" s="572"/>
      <c r="M1" s="572"/>
      <c r="N1" s="572" t="s">
        <v>240</v>
      </c>
      <c r="O1" s="572" t="s">
        <v>241</v>
      </c>
      <c r="P1" s="572" t="s">
        <v>242</v>
      </c>
      <c r="Q1" s="572" t="s">
        <v>243</v>
      </c>
      <c r="R1" s="572" t="s">
        <v>244</v>
      </c>
      <c r="S1" s="572" t="s">
        <v>245</v>
      </c>
      <c r="T1" s="572" t="s">
        <v>246</v>
      </c>
      <c r="U1" s="572" t="s">
        <v>247</v>
      </c>
      <c r="V1" s="572" t="s">
        <v>248</v>
      </c>
      <c r="W1" s="572" t="s">
        <v>249</v>
      </c>
      <c r="X1" s="572" t="s">
        <v>250</v>
      </c>
      <c r="Y1" s="572" t="s">
        <v>251</v>
      </c>
      <c r="Z1" s="572"/>
      <c r="AA1" s="572"/>
      <c r="AB1" s="572"/>
      <c r="AC1" s="572"/>
      <c r="AD1" s="572"/>
      <c r="AE1" s="572"/>
      <c r="AF1" s="572"/>
      <c r="AG1" s="572"/>
      <c r="AH1" s="572"/>
      <c r="AI1" s="575" t="s">
        <v>218</v>
      </c>
    </row>
    <row r="2" spans="1:35" ht="25.15" customHeight="1" thickBot="1" x14ac:dyDescent="0.25">
      <c r="A2" s="580"/>
      <c r="B2" s="581"/>
      <c r="C2" s="582"/>
      <c r="D2" s="574"/>
      <c r="E2" s="574"/>
      <c r="F2" s="574"/>
      <c r="G2" s="574"/>
      <c r="H2" s="574"/>
      <c r="I2" s="573"/>
      <c r="J2" s="574"/>
      <c r="K2" s="574"/>
      <c r="L2" s="574"/>
      <c r="M2" s="574"/>
      <c r="N2" s="574"/>
      <c r="O2" s="574"/>
      <c r="P2" s="574"/>
      <c r="Q2" s="574"/>
      <c r="R2" s="574"/>
      <c r="S2" s="574"/>
      <c r="T2" s="574"/>
      <c r="U2" s="574"/>
      <c r="V2" s="574"/>
      <c r="W2" s="574"/>
      <c r="X2" s="574"/>
      <c r="Y2" s="574"/>
      <c r="Z2" s="574"/>
      <c r="AA2" s="574"/>
      <c r="AB2" s="574"/>
      <c r="AC2" s="573"/>
      <c r="AD2" s="573"/>
      <c r="AE2" s="573"/>
      <c r="AF2" s="573"/>
      <c r="AG2" s="574"/>
      <c r="AH2" s="574"/>
      <c r="AI2" s="576"/>
    </row>
    <row r="3" spans="1:35" ht="16.5" customHeight="1" thickTop="1" x14ac:dyDescent="0.2">
      <c r="A3" s="76"/>
      <c r="B3" s="77"/>
      <c r="C3" s="4"/>
      <c r="D3" s="5"/>
      <c r="E3" s="5"/>
      <c r="F3" s="5"/>
      <c r="G3" s="5"/>
      <c r="H3" s="5"/>
      <c r="I3" s="5"/>
      <c r="J3" s="5"/>
      <c r="K3" s="142"/>
      <c r="L3" s="142"/>
      <c r="M3" s="244"/>
      <c r="N3" s="194"/>
      <c r="O3" s="194"/>
      <c r="P3" s="244"/>
      <c r="Q3" s="333"/>
      <c r="R3" s="333"/>
      <c r="S3" s="244"/>
      <c r="T3" s="361"/>
      <c r="U3" s="361"/>
      <c r="V3" s="244"/>
      <c r="W3" s="347"/>
      <c r="X3" s="347"/>
      <c r="Y3" s="244"/>
      <c r="Z3" s="206"/>
      <c r="AA3" s="206"/>
      <c r="AB3" s="244"/>
      <c r="AC3" s="507"/>
      <c r="AD3" s="507"/>
      <c r="AE3" s="538"/>
      <c r="AF3" s="538"/>
      <c r="AG3" s="466"/>
      <c r="AH3" s="466"/>
      <c r="AI3" s="47"/>
    </row>
    <row r="4" spans="1:35" x14ac:dyDescent="0.2">
      <c r="A4" s="78"/>
      <c r="B4" s="79"/>
      <c r="C4" s="6" t="s">
        <v>50</v>
      </c>
      <c r="D4" s="7"/>
      <c r="E4" s="7"/>
      <c r="F4" s="7"/>
      <c r="G4" s="7"/>
      <c r="H4" s="7"/>
      <c r="I4" s="7"/>
      <c r="J4" s="7"/>
      <c r="K4" s="143"/>
      <c r="L4" s="143"/>
      <c r="M4" s="232"/>
      <c r="N4" s="180"/>
      <c r="O4" s="180"/>
      <c r="P4" s="232"/>
      <c r="Q4" s="334"/>
      <c r="R4" s="334"/>
      <c r="S4" s="232"/>
      <c r="T4" s="362"/>
      <c r="U4" s="362"/>
      <c r="V4" s="232"/>
      <c r="W4" s="348"/>
      <c r="X4" s="348"/>
      <c r="Y4" s="232"/>
      <c r="Z4" s="174"/>
      <c r="AA4" s="174"/>
      <c r="AB4" s="232"/>
      <c r="AC4" s="508"/>
      <c r="AD4" s="508"/>
      <c r="AE4" s="539"/>
      <c r="AF4" s="539"/>
      <c r="AG4" s="467"/>
      <c r="AH4" s="467"/>
      <c r="AI4" s="8"/>
    </row>
    <row r="5" spans="1:35" x14ac:dyDescent="0.2">
      <c r="A5" s="78">
        <v>1</v>
      </c>
      <c r="B5" s="79"/>
      <c r="C5" s="4" t="s">
        <v>99</v>
      </c>
      <c r="D5" s="9">
        <v>5646493.0999999996</v>
      </c>
      <c r="E5" s="9"/>
      <c r="F5" s="9"/>
      <c r="G5" s="9"/>
      <c r="H5" s="9"/>
      <c r="I5" s="9"/>
      <c r="J5" s="9"/>
      <c r="K5" s="144"/>
      <c r="L5" s="144"/>
      <c r="M5" s="230">
        <f>ROUND(E5*(1-8.18%),2)</f>
        <v>0</v>
      </c>
      <c r="N5" s="178"/>
      <c r="O5" s="178"/>
      <c r="P5" s="230">
        <f>ROUND(F5*(1-0.10257103%),2)</f>
        <v>0</v>
      </c>
      <c r="Q5" s="335"/>
      <c r="R5" s="335"/>
      <c r="S5" s="230">
        <f>ROUND(G5*(1-5%),2)</f>
        <v>0</v>
      </c>
      <c r="T5" s="363"/>
      <c r="U5" s="363"/>
      <c r="V5" s="230">
        <f>ROUND(H5*(1-0.0030707%),2)</f>
        <v>0</v>
      </c>
      <c r="W5" s="349"/>
      <c r="X5" s="349"/>
      <c r="Y5" s="230">
        <f>ROUND(I5*(1-5%),2)</f>
        <v>0</v>
      </c>
      <c r="Z5" s="172"/>
      <c r="AA5" s="172"/>
      <c r="AB5" s="230">
        <f>ROUND(J5*(1-1.31%),2)</f>
        <v>0</v>
      </c>
      <c r="AC5" s="508"/>
      <c r="AD5" s="508"/>
      <c r="AE5" s="539"/>
      <c r="AF5" s="539"/>
      <c r="AG5" s="467"/>
      <c r="AH5" s="467"/>
      <c r="AI5" s="8">
        <f t="shared" ref="AI5:AI18" si="0">SUM(D5:J5)-SUM(K5:AH5)</f>
        <v>5646493.0999999996</v>
      </c>
    </row>
    <row r="6" spans="1:35" x14ac:dyDescent="0.2">
      <c r="A6" s="78">
        <v>2</v>
      </c>
      <c r="B6" s="79"/>
      <c r="C6" s="4" t="s">
        <v>113</v>
      </c>
      <c r="D6" s="9">
        <v>2594784.4</v>
      </c>
      <c r="E6" s="9"/>
      <c r="F6" s="9"/>
      <c r="G6" s="9"/>
      <c r="H6" s="9"/>
      <c r="I6" s="9"/>
      <c r="J6" s="9"/>
      <c r="K6" s="144"/>
      <c r="L6" s="144"/>
      <c r="M6" s="230">
        <f>ROUND(E6*(1-8.18%),2)</f>
        <v>0</v>
      </c>
      <c r="N6" s="178"/>
      <c r="O6" s="178"/>
      <c r="P6" s="230">
        <f>ROUND(F6*(1-0.10257103%),2)</f>
        <v>0</v>
      </c>
      <c r="Q6" s="335"/>
      <c r="R6" s="335"/>
      <c r="S6" s="230">
        <f>ROUND(G6*(1-5%),2)</f>
        <v>0</v>
      </c>
      <c r="T6" s="363"/>
      <c r="U6" s="363"/>
      <c r="V6" s="230">
        <f>ROUND(H6*(1-0.0030707%),2)</f>
        <v>0</v>
      </c>
      <c r="W6" s="349"/>
      <c r="X6" s="349"/>
      <c r="Y6" s="230">
        <f>ROUND(I6*(1-5%),2)</f>
        <v>0</v>
      </c>
      <c r="Z6" s="172"/>
      <c r="AA6" s="172"/>
      <c r="AB6" s="230">
        <f>ROUND(J6*(1-1.31%),2)</f>
        <v>0</v>
      </c>
      <c r="AC6" s="508"/>
      <c r="AD6" s="508"/>
      <c r="AE6" s="539"/>
      <c r="AF6" s="539"/>
      <c r="AG6" s="467"/>
      <c r="AH6" s="467"/>
      <c r="AI6" s="8">
        <f t="shared" si="0"/>
        <v>2594784.4</v>
      </c>
    </row>
    <row r="7" spans="1:35" x14ac:dyDescent="0.2">
      <c r="A7" s="78">
        <v>3</v>
      </c>
      <c r="B7" s="79"/>
      <c r="C7" s="4" t="s">
        <v>115</v>
      </c>
      <c r="D7" s="9">
        <f>D8+D9+D10</f>
        <v>3474494.9</v>
      </c>
      <c r="E7" s="9">
        <f t="shared" ref="E7:AH7" si="1">E8+E9+E10</f>
        <v>0</v>
      </c>
      <c r="F7" s="9">
        <f t="shared" si="1"/>
        <v>0</v>
      </c>
      <c r="G7" s="9">
        <f t="shared" si="1"/>
        <v>1723013</v>
      </c>
      <c r="H7" s="9">
        <f t="shared" si="1"/>
        <v>17602755.77</v>
      </c>
      <c r="I7" s="9">
        <f t="shared" si="1"/>
        <v>6300</v>
      </c>
      <c r="J7" s="9">
        <f t="shared" si="1"/>
        <v>0</v>
      </c>
      <c r="K7" s="144">
        <f t="shared" si="1"/>
        <v>0</v>
      </c>
      <c r="L7" s="144">
        <f t="shared" si="1"/>
        <v>0</v>
      </c>
      <c r="M7" s="230">
        <f t="shared" ref="M7" si="2">M8+M9+M10</f>
        <v>0</v>
      </c>
      <c r="N7" s="178">
        <f t="shared" si="1"/>
        <v>0</v>
      </c>
      <c r="O7" s="178">
        <f t="shared" si="1"/>
        <v>0</v>
      </c>
      <c r="P7" s="230">
        <f t="shared" ref="P7:Y7" si="3">P8+P9+P10</f>
        <v>0</v>
      </c>
      <c r="Q7" s="335">
        <f t="shared" si="3"/>
        <v>0</v>
      </c>
      <c r="R7" s="335">
        <f t="shared" si="3"/>
        <v>172.20000000000002</v>
      </c>
      <c r="S7" s="230">
        <f t="shared" si="3"/>
        <v>1636862.35</v>
      </c>
      <c r="T7" s="363">
        <f t="shared" si="3"/>
        <v>0</v>
      </c>
      <c r="U7" s="363">
        <f t="shared" si="3"/>
        <v>0.23572996225000001</v>
      </c>
      <c r="V7" s="230">
        <f t="shared" si="3"/>
        <v>17602215.25</v>
      </c>
      <c r="W7" s="349">
        <f t="shared" si="3"/>
        <v>0</v>
      </c>
      <c r="X7" s="349">
        <f t="shared" si="3"/>
        <v>0</v>
      </c>
      <c r="Y7" s="230">
        <f t="shared" si="3"/>
        <v>5985</v>
      </c>
      <c r="Z7" s="172">
        <f t="shared" si="1"/>
        <v>0</v>
      </c>
      <c r="AA7" s="172">
        <f t="shared" si="1"/>
        <v>0</v>
      </c>
      <c r="AB7" s="230">
        <f t="shared" si="1"/>
        <v>0</v>
      </c>
      <c r="AC7" s="508">
        <f t="shared" si="1"/>
        <v>0</v>
      </c>
      <c r="AD7" s="508">
        <f t="shared" si="1"/>
        <v>0</v>
      </c>
      <c r="AE7" s="539">
        <f t="shared" si="1"/>
        <v>0</v>
      </c>
      <c r="AF7" s="539">
        <f t="shared" si="1"/>
        <v>0</v>
      </c>
      <c r="AG7" s="467">
        <f t="shared" si="1"/>
        <v>0</v>
      </c>
      <c r="AH7" s="467">
        <f t="shared" si="1"/>
        <v>0</v>
      </c>
      <c r="AI7" s="8">
        <f t="shared" si="0"/>
        <v>3561328.6342700385</v>
      </c>
    </row>
    <row r="8" spans="1:35" x14ac:dyDescent="0.2">
      <c r="A8" s="78"/>
      <c r="B8" s="79" t="s">
        <v>29</v>
      </c>
      <c r="C8" s="10" t="s">
        <v>214</v>
      </c>
      <c r="D8" s="9">
        <v>2796549.38</v>
      </c>
      <c r="E8" s="9"/>
      <c r="F8" s="9"/>
      <c r="G8" s="9">
        <v>1723013</v>
      </c>
      <c r="H8" s="9">
        <v>2650001.67</v>
      </c>
      <c r="I8" s="9">
        <v>6300</v>
      </c>
      <c r="J8" s="9"/>
      <c r="K8" s="144"/>
      <c r="L8" s="144"/>
      <c r="M8" s="230">
        <f>ROUND(E8*(1-8.18%),2)</f>
        <v>0</v>
      </c>
      <c r="N8" s="178"/>
      <c r="O8" s="178"/>
      <c r="P8" s="230">
        <f>ROUND(F8*(1-0.10257103%),2)</f>
        <v>0</v>
      </c>
      <c r="Q8" s="335"/>
      <c r="R8" s="335">
        <f>3444*5%</f>
        <v>172.20000000000002</v>
      </c>
      <c r="S8" s="230">
        <f>ROUND(G8*(1-5%),2)</f>
        <v>1636862.35</v>
      </c>
      <c r="T8" s="363"/>
      <c r="U8" s="363">
        <f>7676.75*0.0030707%</f>
        <v>0.23572996225000001</v>
      </c>
      <c r="V8" s="230">
        <f>ROUND(H8*(1-0.0030707%),2)</f>
        <v>2649920.2999999998</v>
      </c>
      <c r="W8" s="349"/>
      <c r="X8" s="349"/>
      <c r="Y8" s="230">
        <f>ROUND(I8*(1-5%),2)</f>
        <v>5985</v>
      </c>
      <c r="Z8" s="172"/>
      <c r="AA8" s="172"/>
      <c r="AB8" s="230">
        <f>ROUND(J8*(1-1.31%),2)</f>
        <v>0</v>
      </c>
      <c r="AC8" s="508"/>
      <c r="AD8" s="508"/>
      <c r="AE8" s="539"/>
      <c r="AF8" s="539"/>
      <c r="AG8" s="467"/>
      <c r="AH8" s="467"/>
      <c r="AI8" s="8">
        <f t="shared" si="0"/>
        <v>2882923.9642700376</v>
      </c>
    </row>
    <row r="9" spans="1:35" x14ac:dyDescent="0.2">
      <c r="A9" s="78"/>
      <c r="B9" s="79" t="s">
        <v>30</v>
      </c>
      <c r="C9" s="10" t="s">
        <v>114</v>
      </c>
      <c r="D9" s="9">
        <v>677945.52</v>
      </c>
      <c r="E9" s="9"/>
      <c r="F9" s="9"/>
      <c r="G9" s="9"/>
      <c r="H9" s="9"/>
      <c r="I9" s="9"/>
      <c r="J9" s="9"/>
      <c r="K9" s="144"/>
      <c r="L9" s="144"/>
      <c r="M9" s="230">
        <f>ROUND(E9*(1-8.18%),2)</f>
        <v>0</v>
      </c>
      <c r="N9" s="178"/>
      <c r="O9" s="178"/>
      <c r="P9" s="230">
        <f>ROUND(F9*(1-0.10257103%),2)</f>
        <v>0</v>
      </c>
      <c r="Q9" s="335"/>
      <c r="R9" s="335"/>
      <c r="S9" s="230">
        <f>ROUND(G9*(1-5%),2)</f>
        <v>0</v>
      </c>
      <c r="T9" s="363"/>
      <c r="U9" s="363"/>
      <c r="V9" s="230">
        <f>ROUND(H9*(1-0.0030707%),2)</f>
        <v>0</v>
      </c>
      <c r="W9" s="349"/>
      <c r="X9" s="349"/>
      <c r="Y9" s="230">
        <f>ROUND(I9*(1-5%),2)</f>
        <v>0</v>
      </c>
      <c r="Z9" s="172"/>
      <c r="AA9" s="172"/>
      <c r="AB9" s="230">
        <f>ROUND(J9*(1-1.31%),2)</f>
        <v>0</v>
      </c>
      <c r="AC9" s="508"/>
      <c r="AD9" s="508"/>
      <c r="AE9" s="539"/>
      <c r="AF9" s="539"/>
      <c r="AG9" s="467"/>
      <c r="AH9" s="467"/>
      <c r="AI9" s="8">
        <f t="shared" si="0"/>
        <v>677945.52</v>
      </c>
    </row>
    <row r="10" spans="1:35" x14ac:dyDescent="0.2">
      <c r="A10" s="78"/>
      <c r="B10" s="79" t="s">
        <v>31</v>
      </c>
      <c r="C10" s="10" t="s">
        <v>192</v>
      </c>
      <c r="D10" s="9"/>
      <c r="E10" s="9"/>
      <c r="F10" s="9"/>
      <c r="G10" s="9"/>
      <c r="H10" s="9">
        <v>14952754.1</v>
      </c>
      <c r="I10" s="9"/>
      <c r="J10" s="9"/>
      <c r="K10" s="144"/>
      <c r="L10" s="144"/>
      <c r="M10" s="230">
        <f>ROUND(E10*(1-8.18%),2)</f>
        <v>0</v>
      </c>
      <c r="N10" s="178"/>
      <c r="O10" s="178"/>
      <c r="P10" s="230">
        <f>ROUND(F10*(1-0.10257103%),2)</f>
        <v>0</v>
      </c>
      <c r="Q10" s="335"/>
      <c r="R10" s="335"/>
      <c r="S10" s="230">
        <f>ROUND(G10*(1-5%),2)</f>
        <v>0</v>
      </c>
      <c r="T10" s="363"/>
      <c r="U10" s="363"/>
      <c r="V10" s="230">
        <f>ROUND(H10*(1-0.0030707%),2)</f>
        <v>14952294.949999999</v>
      </c>
      <c r="W10" s="349"/>
      <c r="X10" s="349"/>
      <c r="Y10" s="230">
        <f>ROUND(I10*(1-5%),2)</f>
        <v>0</v>
      </c>
      <c r="Z10" s="172"/>
      <c r="AA10" s="172"/>
      <c r="AB10" s="230">
        <f>ROUND(J10*(1-1.31%),2)</f>
        <v>0</v>
      </c>
      <c r="AC10" s="508"/>
      <c r="AD10" s="508"/>
      <c r="AE10" s="539"/>
      <c r="AF10" s="539"/>
      <c r="AG10" s="467"/>
      <c r="AH10" s="467"/>
      <c r="AI10" s="8">
        <f t="shared" si="0"/>
        <v>459.15000000037253</v>
      </c>
    </row>
    <row r="11" spans="1:35" x14ac:dyDescent="0.2">
      <c r="A11" s="78">
        <v>4</v>
      </c>
      <c r="B11" s="79"/>
      <c r="C11" s="4" t="s">
        <v>67</v>
      </c>
      <c r="D11" s="9">
        <f>D12+D13+D14</f>
        <v>164298.63</v>
      </c>
      <c r="E11" s="9">
        <f>E12+E13+E14</f>
        <v>0</v>
      </c>
      <c r="F11" s="9">
        <f t="shared" ref="F11:AH11" si="4">F12+F13+F14</f>
        <v>270392544</v>
      </c>
      <c r="G11" s="9">
        <f t="shared" si="4"/>
        <v>9830875</v>
      </c>
      <c r="H11" s="9">
        <f t="shared" si="4"/>
        <v>0</v>
      </c>
      <c r="I11" s="9">
        <f t="shared" si="4"/>
        <v>40801512</v>
      </c>
      <c r="J11" s="9">
        <f t="shared" si="4"/>
        <v>0</v>
      </c>
      <c r="K11" s="144">
        <f t="shared" si="4"/>
        <v>0</v>
      </c>
      <c r="L11" s="144">
        <f t="shared" si="4"/>
        <v>0</v>
      </c>
      <c r="M11" s="230">
        <f t="shared" ref="M11" si="5">M12+M13+M14</f>
        <v>0</v>
      </c>
      <c r="N11" s="178">
        <f t="shared" si="4"/>
        <v>0</v>
      </c>
      <c r="O11" s="178">
        <f t="shared" si="4"/>
        <v>86.690593365485981</v>
      </c>
      <c r="P11" s="230">
        <f t="shared" ref="P11:Y11" si="6">P12+P13+P14</f>
        <v>270115199.57999998</v>
      </c>
      <c r="Q11" s="335">
        <f t="shared" si="6"/>
        <v>0</v>
      </c>
      <c r="R11" s="335">
        <f t="shared" si="6"/>
        <v>0</v>
      </c>
      <c r="S11" s="230">
        <f t="shared" si="6"/>
        <v>9339331.25</v>
      </c>
      <c r="T11" s="363">
        <f t="shared" si="6"/>
        <v>0</v>
      </c>
      <c r="U11" s="363">
        <f t="shared" si="6"/>
        <v>0</v>
      </c>
      <c r="V11" s="230">
        <f t="shared" si="6"/>
        <v>0</v>
      </c>
      <c r="W11" s="349">
        <f t="shared" si="6"/>
        <v>0</v>
      </c>
      <c r="X11" s="349">
        <f t="shared" si="6"/>
        <v>14358.917000000001</v>
      </c>
      <c r="Y11" s="230">
        <f t="shared" si="6"/>
        <v>38761436.399999999</v>
      </c>
      <c r="Z11" s="172">
        <f t="shared" si="4"/>
        <v>0</v>
      </c>
      <c r="AA11" s="172">
        <f t="shared" si="4"/>
        <v>0</v>
      </c>
      <c r="AB11" s="230">
        <f t="shared" si="4"/>
        <v>0</v>
      </c>
      <c r="AC11" s="508">
        <f t="shared" si="4"/>
        <v>0</v>
      </c>
      <c r="AD11" s="508">
        <f t="shared" si="4"/>
        <v>0</v>
      </c>
      <c r="AE11" s="539">
        <f t="shared" si="4"/>
        <v>0</v>
      </c>
      <c r="AF11" s="539">
        <f t="shared" si="4"/>
        <v>0</v>
      </c>
      <c r="AG11" s="467">
        <f t="shared" si="4"/>
        <v>0</v>
      </c>
      <c r="AH11" s="467">
        <f t="shared" si="4"/>
        <v>0</v>
      </c>
      <c r="AI11" s="8">
        <f t="shared" si="0"/>
        <v>2958816.7924066782</v>
      </c>
    </row>
    <row r="12" spans="1:35" x14ac:dyDescent="0.2">
      <c r="A12" s="78"/>
      <c r="B12" s="79" t="s">
        <v>29</v>
      </c>
      <c r="C12" s="4" t="s">
        <v>161</v>
      </c>
      <c r="D12" s="9">
        <v>43146.78</v>
      </c>
      <c r="E12" s="9"/>
      <c r="F12" s="9"/>
      <c r="G12" s="9"/>
      <c r="H12" s="9"/>
      <c r="I12" s="9"/>
      <c r="J12" s="9"/>
      <c r="K12" s="144"/>
      <c r="L12" s="144"/>
      <c r="M12" s="230">
        <f t="shared" ref="M12:M18" si="7">ROUND(E12*(1-8.18%),2)</f>
        <v>0</v>
      </c>
      <c r="N12" s="178"/>
      <c r="O12" s="178"/>
      <c r="P12" s="230">
        <f t="shared" ref="P12:P18" si="8">ROUND(F12*(1-0.10257103%),2)</f>
        <v>0</v>
      </c>
      <c r="Q12" s="335"/>
      <c r="R12" s="335"/>
      <c r="S12" s="230">
        <f t="shared" ref="S12:S18" si="9">ROUND(G12*(1-5%),2)</f>
        <v>0</v>
      </c>
      <c r="T12" s="363"/>
      <c r="U12" s="363"/>
      <c r="V12" s="230">
        <f t="shared" ref="V12:V18" si="10">ROUND(H12*(1-0.0030707%),2)</f>
        <v>0</v>
      </c>
      <c r="W12" s="349"/>
      <c r="X12" s="349"/>
      <c r="Y12" s="230">
        <f t="shared" ref="Y12:Y18" si="11">ROUND(I12*(1-5%),2)</f>
        <v>0</v>
      </c>
      <c r="Z12" s="172"/>
      <c r="AA12" s="172"/>
      <c r="AB12" s="230">
        <f t="shared" ref="AB12:AB18" si="12">ROUND(J12*(1-1.31%),2)</f>
        <v>0</v>
      </c>
      <c r="AC12" s="508"/>
      <c r="AD12" s="508"/>
      <c r="AE12" s="539"/>
      <c r="AF12" s="539"/>
      <c r="AG12" s="467"/>
      <c r="AH12" s="467"/>
      <c r="AI12" s="8">
        <f t="shared" si="0"/>
        <v>43146.78</v>
      </c>
    </row>
    <row r="13" spans="1:35" ht="15" x14ac:dyDescent="0.2">
      <c r="A13" s="78"/>
      <c r="B13" s="80" t="s">
        <v>30</v>
      </c>
      <c r="C13" s="11" t="s">
        <v>206</v>
      </c>
      <c r="D13" s="9"/>
      <c r="E13" s="9"/>
      <c r="F13" s="9"/>
      <c r="G13" s="9"/>
      <c r="H13" s="9"/>
      <c r="I13" s="9"/>
      <c r="J13" s="9"/>
      <c r="K13" s="144"/>
      <c r="L13" s="144"/>
      <c r="M13" s="230">
        <f t="shared" si="7"/>
        <v>0</v>
      </c>
      <c r="N13" s="178"/>
      <c r="O13" s="178"/>
      <c r="P13" s="230">
        <f t="shared" si="8"/>
        <v>0</v>
      </c>
      <c r="Q13" s="335"/>
      <c r="R13" s="335"/>
      <c r="S13" s="230">
        <f t="shared" si="9"/>
        <v>0</v>
      </c>
      <c r="T13" s="363"/>
      <c r="U13" s="363"/>
      <c r="V13" s="230">
        <f t="shared" si="10"/>
        <v>0</v>
      </c>
      <c r="W13" s="349"/>
      <c r="X13" s="349"/>
      <c r="Y13" s="230">
        <f t="shared" si="11"/>
        <v>0</v>
      </c>
      <c r="Z13" s="172"/>
      <c r="AA13" s="172"/>
      <c r="AB13" s="230">
        <f t="shared" si="12"/>
        <v>0</v>
      </c>
      <c r="AC13" s="508"/>
      <c r="AD13" s="508"/>
      <c r="AE13" s="539"/>
      <c r="AF13" s="539"/>
      <c r="AG13" s="467"/>
      <c r="AH13" s="467"/>
      <c r="AI13" s="8">
        <f t="shared" si="0"/>
        <v>0</v>
      </c>
    </row>
    <row r="14" spans="1:35" ht="15" x14ac:dyDescent="0.2">
      <c r="A14" s="78"/>
      <c r="B14" s="80" t="s">
        <v>31</v>
      </c>
      <c r="C14" s="11" t="s">
        <v>207</v>
      </c>
      <c r="D14" s="9">
        <v>121151.85</v>
      </c>
      <c r="E14" s="9"/>
      <c r="F14" s="9">
        <v>270392544</v>
      </c>
      <c r="G14" s="9">
        <v>9830875</v>
      </c>
      <c r="H14" s="9"/>
      <c r="I14" s="9">
        <v>40801512</v>
      </c>
      <c r="J14" s="9"/>
      <c r="K14" s="144"/>
      <c r="L14" s="144"/>
      <c r="M14" s="230">
        <f t="shared" si="7"/>
        <v>0</v>
      </c>
      <c r="N14" s="178"/>
      <c r="O14" s="178">
        <f>84517.62*0.10257103%</f>
        <v>86.690593365485981</v>
      </c>
      <c r="P14" s="230">
        <f t="shared" si="8"/>
        <v>270115199.57999998</v>
      </c>
      <c r="Q14" s="335"/>
      <c r="R14" s="335"/>
      <c r="S14" s="230">
        <f t="shared" si="9"/>
        <v>9339331.25</v>
      </c>
      <c r="T14" s="363"/>
      <c r="U14" s="363"/>
      <c r="V14" s="230">
        <f t="shared" si="10"/>
        <v>0</v>
      </c>
      <c r="W14" s="349"/>
      <c r="X14" s="349">
        <f>(284726.33+2452.01)*5%</f>
        <v>14358.917000000001</v>
      </c>
      <c r="Y14" s="230">
        <f t="shared" si="11"/>
        <v>38761436.399999999</v>
      </c>
      <c r="Z14" s="172"/>
      <c r="AA14" s="172"/>
      <c r="AB14" s="230">
        <f t="shared" si="12"/>
        <v>0</v>
      </c>
      <c r="AC14" s="508"/>
      <c r="AD14" s="508"/>
      <c r="AE14" s="539"/>
      <c r="AF14" s="539"/>
      <c r="AG14" s="467"/>
      <c r="AH14" s="467"/>
      <c r="AI14" s="8">
        <f t="shared" si="0"/>
        <v>2915670.0124067068</v>
      </c>
    </row>
    <row r="15" spans="1:35" ht="14.25" customHeight="1" x14ac:dyDescent="0.2">
      <c r="A15" s="78">
        <v>5</v>
      </c>
      <c r="B15" s="79"/>
      <c r="C15" s="12" t="s">
        <v>5</v>
      </c>
      <c r="D15" s="9"/>
      <c r="E15" s="9"/>
      <c r="F15" s="9"/>
      <c r="G15" s="9"/>
      <c r="H15" s="9"/>
      <c r="I15" s="9"/>
      <c r="J15" s="9"/>
      <c r="K15" s="144"/>
      <c r="L15" s="144"/>
      <c r="M15" s="230">
        <f t="shared" si="7"/>
        <v>0</v>
      </c>
      <c r="N15" s="178"/>
      <c r="O15" s="178"/>
      <c r="P15" s="230">
        <f t="shared" si="8"/>
        <v>0</v>
      </c>
      <c r="Q15" s="335"/>
      <c r="R15" s="335"/>
      <c r="S15" s="230">
        <f t="shared" si="9"/>
        <v>0</v>
      </c>
      <c r="T15" s="363"/>
      <c r="U15" s="363"/>
      <c r="V15" s="230">
        <f t="shared" si="10"/>
        <v>0</v>
      </c>
      <c r="W15" s="349"/>
      <c r="X15" s="349"/>
      <c r="Y15" s="230">
        <f t="shared" si="11"/>
        <v>0</v>
      </c>
      <c r="Z15" s="172"/>
      <c r="AA15" s="172"/>
      <c r="AB15" s="230">
        <f t="shared" si="12"/>
        <v>0</v>
      </c>
      <c r="AC15" s="508"/>
      <c r="AD15" s="508"/>
      <c r="AE15" s="539"/>
      <c r="AF15" s="539"/>
      <c r="AG15" s="467"/>
      <c r="AH15" s="467"/>
      <c r="AI15" s="8">
        <f t="shared" si="0"/>
        <v>0</v>
      </c>
    </row>
    <row r="16" spans="1:35" x14ac:dyDescent="0.2">
      <c r="A16" s="78">
        <v>6</v>
      </c>
      <c r="B16" s="79"/>
      <c r="C16" s="12" t="s">
        <v>87</v>
      </c>
      <c r="D16" s="9"/>
      <c r="E16" s="9"/>
      <c r="F16" s="9"/>
      <c r="G16" s="9"/>
      <c r="H16" s="9"/>
      <c r="I16" s="9"/>
      <c r="J16" s="9"/>
      <c r="K16" s="144"/>
      <c r="L16" s="144"/>
      <c r="M16" s="230">
        <f t="shared" si="7"/>
        <v>0</v>
      </c>
      <c r="N16" s="178"/>
      <c r="O16" s="178"/>
      <c r="P16" s="230">
        <f t="shared" si="8"/>
        <v>0</v>
      </c>
      <c r="Q16" s="335"/>
      <c r="R16" s="335"/>
      <c r="S16" s="230">
        <f t="shared" si="9"/>
        <v>0</v>
      </c>
      <c r="T16" s="363"/>
      <c r="U16" s="363"/>
      <c r="V16" s="230">
        <f t="shared" si="10"/>
        <v>0</v>
      </c>
      <c r="W16" s="349"/>
      <c r="X16" s="349"/>
      <c r="Y16" s="230">
        <f t="shared" si="11"/>
        <v>0</v>
      </c>
      <c r="Z16" s="172"/>
      <c r="AA16" s="172"/>
      <c r="AB16" s="230">
        <f t="shared" si="12"/>
        <v>0</v>
      </c>
      <c r="AC16" s="508"/>
      <c r="AD16" s="508"/>
      <c r="AE16" s="539"/>
      <c r="AF16" s="539"/>
      <c r="AG16" s="467"/>
      <c r="AH16" s="467"/>
      <c r="AI16" s="8">
        <f t="shared" si="0"/>
        <v>0</v>
      </c>
    </row>
    <row r="17" spans="1:35" x14ac:dyDescent="0.2">
      <c r="A17" s="78">
        <v>7</v>
      </c>
      <c r="B17" s="79"/>
      <c r="C17" s="4" t="s">
        <v>4</v>
      </c>
      <c r="D17" s="9"/>
      <c r="E17" s="9"/>
      <c r="F17" s="9">
        <v>1155819</v>
      </c>
      <c r="G17" s="9"/>
      <c r="H17" s="9"/>
      <c r="I17" s="9">
        <v>161107</v>
      </c>
      <c r="J17" s="9"/>
      <c r="K17" s="144"/>
      <c r="L17" s="144"/>
      <c r="M17" s="230">
        <f t="shared" si="7"/>
        <v>0</v>
      </c>
      <c r="N17" s="178"/>
      <c r="O17" s="178"/>
      <c r="P17" s="230">
        <f t="shared" si="8"/>
        <v>1154633.46</v>
      </c>
      <c r="Q17" s="335"/>
      <c r="R17" s="335"/>
      <c r="S17" s="230">
        <f t="shared" si="9"/>
        <v>0</v>
      </c>
      <c r="T17" s="363"/>
      <c r="U17" s="363"/>
      <c r="V17" s="230">
        <f t="shared" si="10"/>
        <v>0</v>
      </c>
      <c r="W17" s="349"/>
      <c r="X17" s="349"/>
      <c r="Y17" s="230">
        <f t="shared" si="11"/>
        <v>153051.65</v>
      </c>
      <c r="Z17" s="172"/>
      <c r="AA17" s="172"/>
      <c r="AB17" s="230">
        <f t="shared" si="12"/>
        <v>0</v>
      </c>
      <c r="AC17" s="508"/>
      <c r="AD17" s="508"/>
      <c r="AE17" s="539"/>
      <c r="AF17" s="539"/>
      <c r="AG17" s="467"/>
      <c r="AH17" s="467"/>
      <c r="AI17" s="8">
        <f t="shared" si="0"/>
        <v>9240.8900000001304</v>
      </c>
    </row>
    <row r="18" spans="1:35" ht="13.5" thickBot="1" x14ac:dyDescent="0.25">
      <c r="A18" s="78">
        <v>8</v>
      </c>
      <c r="B18" s="79"/>
      <c r="C18" s="4" t="s">
        <v>118</v>
      </c>
      <c r="D18" s="9">
        <v>94826.35</v>
      </c>
      <c r="E18" s="9"/>
      <c r="F18" s="9">
        <v>20539262</v>
      </c>
      <c r="G18" s="9">
        <v>8882356</v>
      </c>
      <c r="H18" s="9">
        <v>50083.199999999997</v>
      </c>
      <c r="I18" s="9">
        <v>7768945</v>
      </c>
      <c r="J18" s="9"/>
      <c r="K18" s="144"/>
      <c r="L18" s="144"/>
      <c r="M18" s="230">
        <f t="shared" si="7"/>
        <v>0</v>
      </c>
      <c r="N18" s="178"/>
      <c r="O18" s="178"/>
      <c r="P18" s="230">
        <f t="shared" si="8"/>
        <v>20518194.670000002</v>
      </c>
      <c r="Q18" s="335"/>
      <c r="R18" s="335"/>
      <c r="S18" s="230">
        <f t="shared" si="9"/>
        <v>8438238.1999999993</v>
      </c>
      <c r="T18" s="363"/>
      <c r="U18" s="363"/>
      <c r="V18" s="230">
        <f t="shared" si="10"/>
        <v>50081.66</v>
      </c>
      <c r="W18" s="349"/>
      <c r="X18" s="349">
        <f>1385.21*5%</f>
        <v>69.260500000000008</v>
      </c>
      <c r="Y18" s="230">
        <f t="shared" si="11"/>
        <v>7380497.75</v>
      </c>
      <c r="Z18" s="172"/>
      <c r="AA18" s="172"/>
      <c r="AB18" s="230">
        <f t="shared" si="12"/>
        <v>0</v>
      </c>
      <c r="AC18" s="508"/>
      <c r="AD18" s="508"/>
      <c r="AE18" s="539"/>
      <c r="AF18" s="539"/>
      <c r="AG18" s="467"/>
      <c r="AH18" s="467"/>
      <c r="AI18" s="8">
        <f t="shared" si="0"/>
        <v>948391.0094999969</v>
      </c>
    </row>
    <row r="19" spans="1:35" ht="13.5" thickBot="1" x14ac:dyDescent="0.25">
      <c r="A19" s="78"/>
      <c r="B19" s="79"/>
      <c r="C19" s="13" t="s">
        <v>52</v>
      </c>
      <c r="D19" s="14">
        <f>D5+D6+D7+D11+D18+D15+D16+D17</f>
        <v>11974897.380000001</v>
      </c>
      <c r="E19" s="14">
        <f t="shared" ref="E19:AH19" si="13">E5+E6+E7+E11+E18+E15+E16+E17</f>
        <v>0</v>
      </c>
      <c r="F19" s="14">
        <f t="shared" si="13"/>
        <v>292087625</v>
      </c>
      <c r="G19" s="14">
        <f t="shared" si="13"/>
        <v>20436244</v>
      </c>
      <c r="H19" s="14">
        <f t="shared" si="13"/>
        <v>17652838.969999999</v>
      </c>
      <c r="I19" s="14">
        <f t="shared" si="13"/>
        <v>48737864</v>
      </c>
      <c r="J19" s="14">
        <f t="shared" si="13"/>
        <v>0</v>
      </c>
      <c r="K19" s="145">
        <f t="shared" si="13"/>
        <v>0</v>
      </c>
      <c r="L19" s="145">
        <f t="shared" si="13"/>
        <v>0</v>
      </c>
      <c r="M19" s="245">
        <f t="shared" ref="M19" si="14">M5+M6+M7+M11+M18+M15+M16+M17</f>
        <v>0</v>
      </c>
      <c r="N19" s="195">
        <f t="shared" si="13"/>
        <v>0</v>
      </c>
      <c r="O19" s="195">
        <f t="shared" si="13"/>
        <v>86.690593365485981</v>
      </c>
      <c r="P19" s="245">
        <f t="shared" ref="P19:Y19" si="15">P5+P6+P7+P11+P18+P15+P16+P17</f>
        <v>291788027.70999998</v>
      </c>
      <c r="Q19" s="336">
        <f t="shared" si="15"/>
        <v>0</v>
      </c>
      <c r="R19" s="336">
        <f t="shared" si="15"/>
        <v>172.20000000000002</v>
      </c>
      <c r="S19" s="245">
        <f t="shared" si="15"/>
        <v>19414431.799999997</v>
      </c>
      <c r="T19" s="364">
        <f t="shared" si="15"/>
        <v>0</v>
      </c>
      <c r="U19" s="364">
        <f t="shared" si="15"/>
        <v>0.23572996225000001</v>
      </c>
      <c r="V19" s="245">
        <f t="shared" si="15"/>
        <v>17652296.91</v>
      </c>
      <c r="W19" s="350">
        <f t="shared" si="15"/>
        <v>0</v>
      </c>
      <c r="X19" s="350">
        <f t="shared" si="15"/>
        <v>14428.177500000002</v>
      </c>
      <c r="Y19" s="245">
        <f t="shared" si="15"/>
        <v>46300970.799999997</v>
      </c>
      <c r="Z19" s="207">
        <f t="shared" si="13"/>
        <v>0</v>
      </c>
      <c r="AA19" s="207">
        <f t="shared" si="13"/>
        <v>0</v>
      </c>
      <c r="AB19" s="245">
        <f t="shared" si="13"/>
        <v>0</v>
      </c>
      <c r="AC19" s="509">
        <f t="shared" si="13"/>
        <v>0</v>
      </c>
      <c r="AD19" s="509">
        <f t="shared" si="13"/>
        <v>0</v>
      </c>
      <c r="AE19" s="540">
        <f t="shared" si="13"/>
        <v>0</v>
      </c>
      <c r="AF19" s="540">
        <f t="shared" si="13"/>
        <v>0</v>
      </c>
      <c r="AG19" s="468">
        <f t="shared" si="13"/>
        <v>0</v>
      </c>
      <c r="AH19" s="468">
        <f t="shared" si="13"/>
        <v>0</v>
      </c>
      <c r="AI19" s="15">
        <f>AI5+AI6+AI7+AI11+AI18+AI15+AI16+AI17</f>
        <v>15719054.826176714</v>
      </c>
    </row>
    <row r="20" spans="1:35" x14ac:dyDescent="0.2">
      <c r="A20" s="78"/>
      <c r="B20" s="79"/>
      <c r="C20" s="4"/>
      <c r="D20" s="16"/>
      <c r="E20" s="16"/>
      <c r="F20" s="16"/>
      <c r="G20" s="16"/>
      <c r="H20" s="16"/>
      <c r="I20" s="16"/>
      <c r="J20" s="16"/>
      <c r="K20" s="146"/>
      <c r="L20" s="146"/>
      <c r="M20" s="246"/>
      <c r="N20" s="196"/>
      <c r="O20" s="196"/>
      <c r="P20" s="246"/>
      <c r="Q20" s="337"/>
      <c r="R20" s="337"/>
      <c r="S20" s="246"/>
      <c r="T20" s="365"/>
      <c r="U20" s="365"/>
      <c r="V20" s="246"/>
      <c r="W20" s="351"/>
      <c r="X20" s="351"/>
      <c r="Y20" s="246"/>
      <c r="Z20" s="208"/>
      <c r="AA20" s="208"/>
      <c r="AB20" s="246"/>
      <c r="AC20" s="510"/>
      <c r="AD20" s="510"/>
      <c r="AE20" s="541"/>
      <c r="AF20" s="541"/>
      <c r="AG20" s="469"/>
      <c r="AH20" s="469"/>
      <c r="AI20" s="17"/>
    </row>
    <row r="21" spans="1:35" x14ac:dyDescent="0.2">
      <c r="A21" s="78"/>
      <c r="B21" s="79"/>
      <c r="C21" s="6" t="s">
        <v>51</v>
      </c>
      <c r="D21" s="16"/>
      <c r="E21" s="16"/>
      <c r="F21" s="16"/>
      <c r="G21" s="16"/>
      <c r="H21" s="16"/>
      <c r="I21" s="16"/>
      <c r="J21" s="16"/>
      <c r="K21" s="146"/>
      <c r="L21" s="146"/>
      <c r="M21" s="246"/>
      <c r="N21" s="196"/>
      <c r="O21" s="196"/>
      <c r="P21" s="246"/>
      <c r="Q21" s="337"/>
      <c r="R21" s="337"/>
      <c r="S21" s="246"/>
      <c r="T21" s="365"/>
      <c r="U21" s="365"/>
      <c r="V21" s="246"/>
      <c r="W21" s="351"/>
      <c r="X21" s="351"/>
      <c r="Y21" s="246"/>
      <c r="Z21" s="208"/>
      <c r="AA21" s="208"/>
      <c r="AB21" s="246"/>
      <c r="AC21" s="510"/>
      <c r="AD21" s="510"/>
      <c r="AE21" s="541"/>
      <c r="AF21" s="541"/>
      <c r="AG21" s="469"/>
      <c r="AH21" s="469"/>
      <c r="AI21" s="17"/>
    </row>
    <row r="22" spans="1:35" x14ac:dyDescent="0.2">
      <c r="A22" s="78">
        <v>9</v>
      </c>
      <c r="B22" s="79"/>
      <c r="C22" s="18" t="s">
        <v>6</v>
      </c>
      <c r="D22" s="16">
        <v>148689.85999999999</v>
      </c>
      <c r="E22" s="16"/>
      <c r="F22" s="16">
        <v>16818371</v>
      </c>
      <c r="G22" s="16">
        <v>96378</v>
      </c>
      <c r="H22" s="16">
        <v>10332.799999999999</v>
      </c>
      <c r="I22" s="16">
        <v>8715824</v>
      </c>
      <c r="J22" s="16"/>
      <c r="K22" s="146"/>
      <c r="L22" s="146"/>
      <c r="M22" s="230">
        <f>ROUND(E22*(1-8.18%),2)</f>
        <v>0</v>
      </c>
      <c r="N22" s="196"/>
      <c r="O22" s="196"/>
      <c r="P22" s="230">
        <f>ROUND(F22*(1-0.10257103%),2)</f>
        <v>16801120.219999999</v>
      </c>
      <c r="Q22" s="335"/>
      <c r="R22" s="335"/>
      <c r="S22" s="230">
        <f>ROUND(G22*(1-5%),2)</f>
        <v>91559.1</v>
      </c>
      <c r="T22" s="363"/>
      <c r="U22" s="363"/>
      <c r="V22" s="230">
        <f>ROUND(H22*(1-0.0030707%),2)</f>
        <v>10332.48</v>
      </c>
      <c r="W22" s="349"/>
      <c r="X22" s="349"/>
      <c r="Y22" s="230">
        <f>ROUND(I22*(1-5%),2)</f>
        <v>8280032.7999999998</v>
      </c>
      <c r="Z22" s="208"/>
      <c r="AA22" s="208"/>
      <c r="AB22" s="230">
        <f>ROUND(J22*(1-1.31%),2)</f>
        <v>0</v>
      </c>
      <c r="AC22" s="508"/>
      <c r="AD22" s="508"/>
      <c r="AE22" s="539"/>
      <c r="AF22" s="539"/>
      <c r="AG22" s="467"/>
      <c r="AH22" s="467"/>
      <c r="AI22" s="8">
        <f t="shared" ref="AI22:AI38" si="16">SUM(D22:J22)-SUM(K22:AH22)</f>
        <v>606551.05999999866</v>
      </c>
    </row>
    <row r="23" spans="1:35" x14ac:dyDescent="0.2">
      <c r="A23" s="78">
        <v>10</v>
      </c>
      <c r="B23" s="79"/>
      <c r="C23" s="4" t="s">
        <v>152</v>
      </c>
      <c r="D23" s="16">
        <v>3212695.32</v>
      </c>
      <c r="E23" s="16"/>
      <c r="F23" s="16">
        <v>101154241</v>
      </c>
      <c r="G23" s="16">
        <v>2207633</v>
      </c>
      <c r="H23" s="16">
        <v>576632.75</v>
      </c>
      <c r="I23" s="16">
        <v>14887105</v>
      </c>
      <c r="J23" s="16"/>
      <c r="K23" s="146"/>
      <c r="L23" s="146"/>
      <c r="M23" s="230">
        <f>ROUND(E23*(1-8.18%),2)</f>
        <v>0</v>
      </c>
      <c r="N23" s="196">
        <f>84517.62*0.10257103%</f>
        <v>86.690593365485981</v>
      </c>
      <c r="O23" s="196"/>
      <c r="P23" s="230">
        <f>ROUND(F23*(1-0.10257103%),2)</f>
        <v>101050486.05</v>
      </c>
      <c r="Q23" s="335"/>
      <c r="R23" s="335"/>
      <c r="S23" s="230">
        <f>ROUND(G23*(1-5%),2)</f>
        <v>2097251.35</v>
      </c>
      <c r="T23" s="363"/>
      <c r="U23" s="363"/>
      <c r="V23" s="230">
        <f>ROUND(H23*(1-0.0030707%),2)</f>
        <v>576615.04</v>
      </c>
      <c r="W23" s="349">
        <f>(284726.33+2452.01)*5%</f>
        <v>14358.917000000001</v>
      </c>
      <c r="X23" s="349"/>
      <c r="Y23" s="230">
        <f>ROUND(I23*(1-5%),2)</f>
        <v>14142749.75</v>
      </c>
      <c r="Z23" s="208"/>
      <c r="AA23" s="208"/>
      <c r="AB23" s="230">
        <f>ROUND(J23*(1-1.31%),2)</f>
        <v>0</v>
      </c>
      <c r="AC23" s="508"/>
      <c r="AD23" s="508"/>
      <c r="AE23" s="539"/>
      <c r="AF23" s="539"/>
      <c r="AG23" s="467"/>
      <c r="AH23" s="467"/>
      <c r="AI23" s="8">
        <f t="shared" si="16"/>
        <v>4156759.2724066377</v>
      </c>
    </row>
    <row r="24" spans="1:35" x14ac:dyDescent="0.2">
      <c r="A24" s="78">
        <v>11</v>
      </c>
      <c r="B24" s="79"/>
      <c r="C24" s="4" t="s">
        <v>215</v>
      </c>
      <c r="D24" s="16">
        <v>77544.320000000007</v>
      </c>
      <c r="E24" s="16"/>
      <c r="F24" s="16">
        <v>6906650</v>
      </c>
      <c r="G24" s="16">
        <v>19322</v>
      </c>
      <c r="H24" s="16">
        <v>155303.42000000001</v>
      </c>
      <c r="I24" s="16">
        <v>8668300</v>
      </c>
      <c r="J24" s="16"/>
      <c r="K24" s="146"/>
      <c r="L24" s="146"/>
      <c r="M24" s="230">
        <f>ROUND(E24*(1-8.18%),2)</f>
        <v>0</v>
      </c>
      <c r="N24" s="196"/>
      <c r="O24" s="196"/>
      <c r="P24" s="230">
        <f>ROUND(F24*(1-0.10257103%),2)</f>
        <v>6899565.7800000003</v>
      </c>
      <c r="Q24" s="335"/>
      <c r="R24" s="335"/>
      <c r="S24" s="230">
        <f>ROUND(G24*(1-5%),2)</f>
        <v>18355.900000000001</v>
      </c>
      <c r="T24" s="363"/>
      <c r="U24" s="363"/>
      <c r="V24" s="230">
        <f>ROUND(H24*(1-0.0030707%),2)</f>
        <v>155298.65</v>
      </c>
      <c r="W24" s="349"/>
      <c r="X24" s="349"/>
      <c r="Y24" s="230">
        <f>ROUND(I24*(1-5%),2)</f>
        <v>8234885</v>
      </c>
      <c r="Z24" s="208"/>
      <c r="AA24" s="208"/>
      <c r="AB24" s="230">
        <f>ROUND(J24*(1-1.31%),2)</f>
        <v>0</v>
      </c>
      <c r="AC24" s="508"/>
      <c r="AD24" s="508"/>
      <c r="AE24" s="539"/>
      <c r="AF24" s="539"/>
      <c r="AG24" s="467"/>
      <c r="AH24" s="467"/>
      <c r="AI24" s="8">
        <f t="shared" si="16"/>
        <v>519014.40999999829</v>
      </c>
    </row>
    <row r="25" spans="1:35" x14ac:dyDescent="0.2">
      <c r="A25" s="78">
        <v>12</v>
      </c>
      <c r="B25" s="79"/>
      <c r="C25" s="4" t="s">
        <v>116</v>
      </c>
      <c r="D25" s="16">
        <f>SUM(D26:D28)</f>
        <v>1837962.94</v>
      </c>
      <c r="E25" s="16">
        <f t="shared" ref="E25:AH25" si="17">SUM(E26:E28)</f>
        <v>0</v>
      </c>
      <c r="F25" s="16">
        <f t="shared" si="17"/>
        <v>0</v>
      </c>
      <c r="G25" s="16">
        <f t="shared" si="17"/>
        <v>0</v>
      </c>
      <c r="H25" s="16">
        <f t="shared" si="17"/>
        <v>14952754.1</v>
      </c>
      <c r="I25" s="16">
        <f t="shared" si="17"/>
        <v>0</v>
      </c>
      <c r="J25" s="16">
        <f t="shared" si="17"/>
        <v>0</v>
      </c>
      <c r="K25" s="146">
        <f t="shared" si="17"/>
        <v>0</v>
      </c>
      <c r="L25" s="146">
        <f t="shared" si="17"/>
        <v>0</v>
      </c>
      <c r="M25" s="230">
        <f t="shared" ref="M25" si="18">SUM(M26:M28)</f>
        <v>0</v>
      </c>
      <c r="N25" s="196">
        <f t="shared" si="17"/>
        <v>0</v>
      </c>
      <c r="O25" s="196">
        <f t="shared" si="17"/>
        <v>0</v>
      </c>
      <c r="P25" s="230">
        <f t="shared" ref="P25:Y25" si="19">SUM(P26:P28)</f>
        <v>0</v>
      </c>
      <c r="Q25" s="335">
        <f t="shared" si="19"/>
        <v>172.20000000000002</v>
      </c>
      <c r="R25" s="335">
        <f t="shared" si="19"/>
        <v>0</v>
      </c>
      <c r="S25" s="230">
        <f t="shared" si="19"/>
        <v>0</v>
      </c>
      <c r="T25" s="363">
        <f t="shared" si="19"/>
        <v>0.23572996225000001</v>
      </c>
      <c r="U25" s="363">
        <f t="shared" si="19"/>
        <v>0</v>
      </c>
      <c r="V25" s="230">
        <f t="shared" si="19"/>
        <v>14952294.949999999</v>
      </c>
      <c r="W25" s="349">
        <f t="shared" si="19"/>
        <v>0</v>
      </c>
      <c r="X25" s="349">
        <f t="shared" si="19"/>
        <v>0</v>
      </c>
      <c r="Y25" s="230">
        <f t="shared" si="19"/>
        <v>0</v>
      </c>
      <c r="Z25" s="208">
        <f t="shared" si="17"/>
        <v>0</v>
      </c>
      <c r="AA25" s="208">
        <f t="shared" si="17"/>
        <v>0</v>
      </c>
      <c r="AB25" s="230">
        <f t="shared" si="17"/>
        <v>0</v>
      </c>
      <c r="AC25" s="508">
        <f t="shared" si="17"/>
        <v>0</v>
      </c>
      <c r="AD25" s="508">
        <f t="shared" si="17"/>
        <v>0</v>
      </c>
      <c r="AE25" s="539">
        <f t="shared" si="17"/>
        <v>0</v>
      </c>
      <c r="AF25" s="539">
        <f t="shared" si="17"/>
        <v>0</v>
      </c>
      <c r="AG25" s="467">
        <f t="shared" si="17"/>
        <v>0</v>
      </c>
      <c r="AH25" s="467">
        <f t="shared" si="17"/>
        <v>0</v>
      </c>
      <c r="AI25" s="8">
        <f t="shared" si="16"/>
        <v>1838249.654270038</v>
      </c>
    </row>
    <row r="26" spans="1:35" x14ac:dyDescent="0.2">
      <c r="A26" s="78"/>
      <c r="B26" s="79" t="s">
        <v>29</v>
      </c>
      <c r="C26" s="10" t="s">
        <v>100</v>
      </c>
      <c r="D26" s="16">
        <v>1737962.94</v>
      </c>
      <c r="E26" s="16"/>
      <c r="F26" s="16"/>
      <c r="G26" s="16"/>
      <c r="H26" s="16"/>
      <c r="I26" s="16"/>
      <c r="J26" s="16"/>
      <c r="K26" s="146"/>
      <c r="L26" s="146"/>
      <c r="M26" s="230">
        <f>ROUND(E26*(1-8.18%),2)</f>
        <v>0</v>
      </c>
      <c r="N26" s="196"/>
      <c r="O26" s="196"/>
      <c r="P26" s="230">
        <f>ROUND(F26*(1-0.10257103%),2)</f>
        <v>0</v>
      </c>
      <c r="Q26" s="335">
        <f>3444*5%</f>
        <v>172.20000000000002</v>
      </c>
      <c r="R26" s="335"/>
      <c r="S26" s="230">
        <f>ROUND(G26*(1-5%),2)</f>
        <v>0</v>
      </c>
      <c r="T26" s="363">
        <f>7676.75*0.0030707%</f>
        <v>0.23572996225000001</v>
      </c>
      <c r="U26" s="363"/>
      <c r="V26" s="230">
        <f>ROUND(H26*(1-0.0030707%),2)</f>
        <v>0</v>
      </c>
      <c r="W26" s="349"/>
      <c r="X26" s="349"/>
      <c r="Y26" s="230">
        <f>ROUND(I26*(1-5%),2)</f>
        <v>0</v>
      </c>
      <c r="Z26" s="208"/>
      <c r="AA26" s="208"/>
      <c r="AB26" s="230">
        <f>ROUND(J26*(1-1.31%),2)</f>
        <v>0</v>
      </c>
      <c r="AC26" s="508"/>
      <c r="AD26" s="508"/>
      <c r="AE26" s="539"/>
      <c r="AF26" s="539"/>
      <c r="AG26" s="467"/>
      <c r="AH26" s="467"/>
      <c r="AI26" s="8">
        <f t="shared" si="16"/>
        <v>1737790.5042700376</v>
      </c>
    </row>
    <row r="27" spans="1:35" x14ac:dyDescent="0.2">
      <c r="A27" s="78"/>
      <c r="B27" s="79" t="s">
        <v>30</v>
      </c>
      <c r="C27" s="10" t="s">
        <v>193</v>
      </c>
      <c r="D27" s="9"/>
      <c r="E27" s="9"/>
      <c r="F27" s="9"/>
      <c r="G27" s="9"/>
      <c r="H27" s="9"/>
      <c r="I27" s="9"/>
      <c r="J27" s="9"/>
      <c r="K27" s="144"/>
      <c r="L27" s="144"/>
      <c r="M27" s="230">
        <f>ROUND(E27*(1-8.18%),2)</f>
        <v>0</v>
      </c>
      <c r="N27" s="178"/>
      <c r="O27" s="178"/>
      <c r="P27" s="230">
        <f>ROUND(F27*(1-0.10257103%),2)</f>
        <v>0</v>
      </c>
      <c r="Q27" s="335"/>
      <c r="R27" s="335"/>
      <c r="S27" s="230">
        <f>ROUND(G27*(1-5%),2)</f>
        <v>0</v>
      </c>
      <c r="T27" s="363"/>
      <c r="U27" s="363"/>
      <c r="V27" s="230">
        <f>ROUND(H27*(1-0.0030707%),2)</f>
        <v>0</v>
      </c>
      <c r="W27" s="349"/>
      <c r="X27" s="349"/>
      <c r="Y27" s="230">
        <f>ROUND(I27*(1-5%),2)</f>
        <v>0</v>
      </c>
      <c r="Z27" s="172"/>
      <c r="AA27" s="172"/>
      <c r="AB27" s="230">
        <f>ROUND(J27*(1-1.31%),2)</f>
        <v>0</v>
      </c>
      <c r="AC27" s="508"/>
      <c r="AD27" s="508"/>
      <c r="AE27" s="539"/>
      <c r="AF27" s="539"/>
      <c r="AG27" s="467"/>
      <c r="AH27" s="467"/>
      <c r="AI27" s="8">
        <f t="shared" si="16"/>
        <v>0</v>
      </c>
    </row>
    <row r="28" spans="1:35" x14ac:dyDescent="0.2">
      <c r="A28" s="78"/>
      <c r="B28" s="79" t="s">
        <v>31</v>
      </c>
      <c r="C28" s="10" t="s">
        <v>117</v>
      </c>
      <c r="D28" s="16">
        <v>100000</v>
      </c>
      <c r="E28" s="16"/>
      <c r="F28" s="16"/>
      <c r="G28" s="16"/>
      <c r="H28" s="16">
        <v>14952754.1</v>
      </c>
      <c r="I28" s="16"/>
      <c r="J28" s="16"/>
      <c r="K28" s="146"/>
      <c r="L28" s="146"/>
      <c r="M28" s="230">
        <f>ROUND(E28*(1-8.18%),2)</f>
        <v>0</v>
      </c>
      <c r="N28" s="196"/>
      <c r="O28" s="196"/>
      <c r="P28" s="230">
        <f>ROUND(F28*(1-0.10257103%),2)</f>
        <v>0</v>
      </c>
      <c r="Q28" s="335"/>
      <c r="R28" s="335"/>
      <c r="S28" s="230">
        <f>ROUND(G28*(1-5%),2)</f>
        <v>0</v>
      </c>
      <c r="T28" s="363"/>
      <c r="U28" s="363"/>
      <c r="V28" s="230">
        <f>ROUND(H28*(1-0.0030707%),2)</f>
        <v>14952294.949999999</v>
      </c>
      <c r="W28" s="349"/>
      <c r="X28" s="349"/>
      <c r="Y28" s="230">
        <f>ROUND(I28*(1-5%),2)</f>
        <v>0</v>
      </c>
      <c r="Z28" s="208"/>
      <c r="AA28" s="208"/>
      <c r="AB28" s="230">
        <f>ROUND(J28*(1-1.31%),2)</f>
        <v>0</v>
      </c>
      <c r="AC28" s="508"/>
      <c r="AD28" s="508"/>
      <c r="AE28" s="539"/>
      <c r="AF28" s="539"/>
      <c r="AG28" s="467"/>
      <c r="AH28" s="467"/>
      <c r="AI28" s="8">
        <f t="shared" si="16"/>
        <v>100459.15000000037</v>
      </c>
    </row>
    <row r="29" spans="1:35" x14ac:dyDescent="0.2">
      <c r="A29" s="78">
        <v>13</v>
      </c>
      <c r="B29" s="79"/>
      <c r="C29" s="4" t="s">
        <v>34</v>
      </c>
      <c r="D29" s="16">
        <v>1369220.05</v>
      </c>
      <c r="E29" s="16"/>
      <c r="F29" s="16">
        <v>57450798</v>
      </c>
      <c r="G29" s="16">
        <v>3058829</v>
      </c>
      <c r="H29" s="16">
        <v>862609.34</v>
      </c>
      <c r="I29" s="16">
        <v>13311397</v>
      </c>
      <c r="J29" s="16"/>
      <c r="K29" s="146"/>
      <c r="L29" s="146"/>
      <c r="M29" s="230">
        <f>ROUND(E29*(1-8.18%),2)</f>
        <v>0</v>
      </c>
      <c r="N29" s="196"/>
      <c r="O29" s="196"/>
      <c r="P29" s="230">
        <f>ROUND(F29*(1-0.10257103%),2)</f>
        <v>57391870.119999997</v>
      </c>
      <c r="Q29" s="335"/>
      <c r="R29" s="335"/>
      <c r="S29" s="230">
        <f>ROUND(G29*(1-5%),2)</f>
        <v>2905887.55</v>
      </c>
      <c r="T29" s="363"/>
      <c r="U29" s="363"/>
      <c r="V29" s="230">
        <f>ROUND(H29*(1-0.0030707%),2)</f>
        <v>862582.85</v>
      </c>
      <c r="W29" s="349"/>
      <c r="X29" s="349"/>
      <c r="Y29" s="230">
        <f>ROUND(I29*(1-5%),2)</f>
        <v>12645827.15</v>
      </c>
      <c r="Z29" s="208"/>
      <c r="AA29" s="208"/>
      <c r="AB29" s="230">
        <f>ROUND(J29*(1-1.31%),2)</f>
        <v>0</v>
      </c>
      <c r="AC29" s="508"/>
      <c r="AD29" s="508"/>
      <c r="AE29" s="539"/>
      <c r="AF29" s="539"/>
      <c r="AG29" s="467"/>
      <c r="AH29" s="467"/>
      <c r="AI29" s="8">
        <f t="shared" si="16"/>
        <v>2246685.7199999988</v>
      </c>
    </row>
    <row r="30" spans="1:35" x14ac:dyDescent="0.2">
      <c r="A30" s="78">
        <v>14</v>
      </c>
      <c r="B30" s="79"/>
      <c r="C30" s="4" t="s">
        <v>35</v>
      </c>
      <c r="D30" s="16">
        <f>SUM(D31:D34)</f>
        <v>1647863.57</v>
      </c>
      <c r="E30" s="16">
        <f>SUM(E31:E34)</f>
        <v>0</v>
      </c>
      <c r="F30" s="16">
        <f>SUM(F31:F34)</f>
        <v>77238203</v>
      </c>
      <c r="G30" s="16">
        <f t="shared" ref="G30:I30" si="20">SUM(G31:G34)</f>
        <v>7454472</v>
      </c>
      <c r="H30" s="16">
        <f t="shared" si="20"/>
        <v>11780.8</v>
      </c>
      <c r="I30" s="16">
        <f t="shared" si="20"/>
        <v>492487</v>
      </c>
      <c r="J30" s="16">
        <f t="shared" ref="J30:AH30" si="21">SUM(J31:J34)</f>
        <v>0</v>
      </c>
      <c r="K30" s="146">
        <f t="shared" si="21"/>
        <v>0</v>
      </c>
      <c r="L30" s="146">
        <f t="shared" si="21"/>
        <v>0</v>
      </c>
      <c r="M30" s="230">
        <f t="shared" ref="M30" si="22">SUM(M31:M34)</f>
        <v>0</v>
      </c>
      <c r="N30" s="196">
        <f t="shared" si="21"/>
        <v>0</v>
      </c>
      <c r="O30" s="196">
        <f t="shared" si="21"/>
        <v>0</v>
      </c>
      <c r="P30" s="230">
        <f t="shared" ref="P30:Y30" si="23">SUM(P31:P34)</f>
        <v>77158978.979999989</v>
      </c>
      <c r="Q30" s="335">
        <f t="shared" si="23"/>
        <v>0</v>
      </c>
      <c r="R30" s="335">
        <f t="shared" si="23"/>
        <v>0</v>
      </c>
      <c r="S30" s="230">
        <f t="shared" si="23"/>
        <v>7081748.3999999994</v>
      </c>
      <c r="T30" s="363">
        <f t="shared" si="23"/>
        <v>0</v>
      </c>
      <c r="U30" s="363">
        <f t="shared" si="23"/>
        <v>0</v>
      </c>
      <c r="V30" s="230">
        <f t="shared" si="23"/>
        <v>11780.43</v>
      </c>
      <c r="W30" s="349">
        <f t="shared" si="23"/>
        <v>0</v>
      </c>
      <c r="X30" s="349">
        <f t="shared" si="23"/>
        <v>0</v>
      </c>
      <c r="Y30" s="230">
        <f t="shared" si="23"/>
        <v>467862.65</v>
      </c>
      <c r="Z30" s="208">
        <f t="shared" si="21"/>
        <v>0</v>
      </c>
      <c r="AA30" s="208">
        <f t="shared" si="21"/>
        <v>0</v>
      </c>
      <c r="AB30" s="230">
        <f t="shared" si="21"/>
        <v>0</v>
      </c>
      <c r="AC30" s="508">
        <f t="shared" si="21"/>
        <v>0</v>
      </c>
      <c r="AD30" s="508">
        <f t="shared" si="21"/>
        <v>0</v>
      </c>
      <c r="AE30" s="539">
        <f t="shared" si="21"/>
        <v>0</v>
      </c>
      <c r="AF30" s="539">
        <f t="shared" si="21"/>
        <v>0</v>
      </c>
      <c r="AG30" s="467">
        <f t="shared" si="21"/>
        <v>0</v>
      </c>
      <c r="AH30" s="467">
        <f t="shared" si="21"/>
        <v>0</v>
      </c>
      <c r="AI30" s="8">
        <f t="shared" si="16"/>
        <v>2124435.9099999815</v>
      </c>
    </row>
    <row r="31" spans="1:35" x14ac:dyDescent="0.2">
      <c r="A31" s="78" t="s">
        <v>0</v>
      </c>
      <c r="B31" s="79" t="s">
        <v>29</v>
      </c>
      <c r="C31" s="10" t="s">
        <v>129</v>
      </c>
      <c r="D31" s="16">
        <v>159507.85</v>
      </c>
      <c r="E31" s="16"/>
      <c r="F31" s="16">
        <v>13502654</v>
      </c>
      <c r="G31" s="16">
        <v>19645</v>
      </c>
      <c r="H31" s="16">
        <v>1144.79</v>
      </c>
      <c r="I31" s="16">
        <v>323301</v>
      </c>
      <c r="J31" s="16"/>
      <c r="K31" s="146"/>
      <c r="L31" s="146"/>
      <c r="M31" s="230">
        <f t="shared" ref="M31:M38" si="24">ROUND(E31*(1-8.18%),2)</f>
        <v>0</v>
      </c>
      <c r="N31" s="196"/>
      <c r="O31" s="196"/>
      <c r="P31" s="230">
        <f t="shared" ref="P31:P38" si="25">ROUND(F31*(1-0.10257103%),2)</f>
        <v>13488804.189999999</v>
      </c>
      <c r="Q31" s="335"/>
      <c r="R31" s="335"/>
      <c r="S31" s="230">
        <f t="shared" ref="S31:S38" si="26">ROUND(G31*(1-5%),2)</f>
        <v>18662.75</v>
      </c>
      <c r="T31" s="363"/>
      <c r="U31" s="363"/>
      <c r="V31" s="230">
        <f t="shared" ref="V31:V38" si="27">ROUND(H31*(1-0.0030707%),2)</f>
        <v>1144.75</v>
      </c>
      <c r="W31" s="349"/>
      <c r="X31" s="349"/>
      <c r="Y31" s="230">
        <f t="shared" ref="Y31:Y38" si="28">ROUND(I31*(1-5%),2)</f>
        <v>307135.95</v>
      </c>
      <c r="Z31" s="208"/>
      <c r="AA31" s="208"/>
      <c r="AB31" s="230">
        <f t="shared" ref="AB31:AB38" si="29">ROUND(J31*(1-1.31%),2)</f>
        <v>0</v>
      </c>
      <c r="AC31" s="508"/>
      <c r="AD31" s="508"/>
      <c r="AE31" s="539"/>
      <c r="AF31" s="539"/>
      <c r="AG31" s="467"/>
      <c r="AH31" s="467"/>
      <c r="AI31" s="8">
        <f t="shared" si="16"/>
        <v>190505</v>
      </c>
    </row>
    <row r="32" spans="1:35" x14ac:dyDescent="0.2">
      <c r="A32" s="78"/>
      <c r="B32" s="79" t="s">
        <v>30</v>
      </c>
      <c r="C32" s="10" t="s">
        <v>128</v>
      </c>
      <c r="D32" s="16">
        <v>1293890.81</v>
      </c>
      <c r="E32" s="16"/>
      <c r="F32" s="16">
        <v>2232190</v>
      </c>
      <c r="G32" s="16">
        <v>7420183</v>
      </c>
      <c r="H32" s="16">
        <v>10636.01</v>
      </c>
      <c r="I32" s="16">
        <v>169186</v>
      </c>
      <c r="J32" s="16"/>
      <c r="K32" s="146"/>
      <c r="L32" s="146"/>
      <c r="M32" s="230">
        <f t="shared" si="24"/>
        <v>0</v>
      </c>
      <c r="N32" s="196"/>
      <c r="O32" s="196"/>
      <c r="P32" s="230">
        <f t="shared" si="25"/>
        <v>2229900.42</v>
      </c>
      <c r="Q32" s="335"/>
      <c r="R32" s="335"/>
      <c r="S32" s="230">
        <f t="shared" si="26"/>
        <v>7049173.8499999996</v>
      </c>
      <c r="T32" s="363"/>
      <c r="U32" s="363"/>
      <c r="V32" s="230">
        <f t="shared" si="27"/>
        <v>10635.68</v>
      </c>
      <c r="W32" s="349"/>
      <c r="X32" s="349"/>
      <c r="Y32" s="230">
        <f t="shared" si="28"/>
        <v>160726.70000000001</v>
      </c>
      <c r="Z32" s="208"/>
      <c r="AA32" s="208"/>
      <c r="AB32" s="230">
        <f t="shared" si="29"/>
        <v>0</v>
      </c>
      <c r="AC32" s="508"/>
      <c r="AD32" s="508"/>
      <c r="AE32" s="539"/>
      <c r="AF32" s="539"/>
      <c r="AG32" s="467"/>
      <c r="AH32" s="467"/>
      <c r="AI32" s="8">
        <f t="shared" si="16"/>
        <v>1675649.1700000018</v>
      </c>
    </row>
    <row r="33" spans="1:35" x14ac:dyDescent="0.2">
      <c r="A33" s="78"/>
      <c r="B33" s="79" t="s">
        <v>31</v>
      </c>
      <c r="C33" s="10" t="s">
        <v>36</v>
      </c>
      <c r="D33" s="16"/>
      <c r="E33" s="16"/>
      <c r="F33" s="16"/>
      <c r="G33" s="16"/>
      <c r="H33" s="16"/>
      <c r="I33" s="16"/>
      <c r="J33" s="16"/>
      <c r="K33" s="146"/>
      <c r="L33" s="146"/>
      <c r="M33" s="230">
        <f t="shared" si="24"/>
        <v>0</v>
      </c>
      <c r="N33" s="196"/>
      <c r="O33" s="196"/>
      <c r="P33" s="230">
        <f t="shared" si="25"/>
        <v>0</v>
      </c>
      <c r="Q33" s="335"/>
      <c r="R33" s="335"/>
      <c r="S33" s="230">
        <f t="shared" si="26"/>
        <v>0</v>
      </c>
      <c r="T33" s="363"/>
      <c r="U33" s="363"/>
      <c r="V33" s="230">
        <f t="shared" si="27"/>
        <v>0</v>
      </c>
      <c r="W33" s="349"/>
      <c r="X33" s="349"/>
      <c r="Y33" s="230">
        <f t="shared" si="28"/>
        <v>0</v>
      </c>
      <c r="Z33" s="208"/>
      <c r="AA33" s="208"/>
      <c r="AB33" s="230">
        <f t="shared" si="29"/>
        <v>0</v>
      </c>
      <c r="AC33" s="508"/>
      <c r="AD33" s="508"/>
      <c r="AE33" s="539"/>
      <c r="AF33" s="539"/>
      <c r="AG33" s="467"/>
      <c r="AH33" s="467"/>
      <c r="AI33" s="8">
        <f t="shared" si="16"/>
        <v>0</v>
      </c>
    </row>
    <row r="34" spans="1:35" x14ac:dyDescent="0.2">
      <c r="A34" s="78"/>
      <c r="B34" s="79" t="s">
        <v>32</v>
      </c>
      <c r="C34" s="10" t="s">
        <v>7</v>
      </c>
      <c r="D34" s="16">
        <v>194464.91</v>
      </c>
      <c r="E34" s="16"/>
      <c r="F34" s="16">
        <v>61503359</v>
      </c>
      <c r="G34" s="16">
        <v>14644</v>
      </c>
      <c r="H34" s="16"/>
      <c r="I34" s="16"/>
      <c r="J34" s="16"/>
      <c r="K34" s="146"/>
      <c r="L34" s="146"/>
      <c r="M34" s="230">
        <f t="shared" si="24"/>
        <v>0</v>
      </c>
      <c r="N34" s="196"/>
      <c r="O34" s="196"/>
      <c r="P34" s="230">
        <f t="shared" si="25"/>
        <v>61440274.369999997</v>
      </c>
      <c r="Q34" s="335"/>
      <c r="R34" s="335"/>
      <c r="S34" s="230">
        <f t="shared" si="26"/>
        <v>13911.8</v>
      </c>
      <c r="T34" s="363"/>
      <c r="U34" s="363"/>
      <c r="V34" s="230">
        <f t="shared" si="27"/>
        <v>0</v>
      </c>
      <c r="W34" s="349"/>
      <c r="X34" s="349"/>
      <c r="Y34" s="230">
        <f t="shared" si="28"/>
        <v>0</v>
      </c>
      <c r="Z34" s="208"/>
      <c r="AA34" s="208"/>
      <c r="AB34" s="230">
        <f t="shared" si="29"/>
        <v>0</v>
      </c>
      <c r="AC34" s="508"/>
      <c r="AD34" s="508"/>
      <c r="AE34" s="539"/>
      <c r="AF34" s="539"/>
      <c r="AG34" s="467"/>
      <c r="AH34" s="467"/>
      <c r="AI34" s="8">
        <f t="shared" si="16"/>
        <v>258281.74000000209</v>
      </c>
    </row>
    <row r="35" spans="1:35" x14ac:dyDescent="0.2">
      <c r="A35" s="78">
        <v>15</v>
      </c>
      <c r="B35" s="79"/>
      <c r="C35" s="18" t="s">
        <v>8</v>
      </c>
      <c r="D35" s="16"/>
      <c r="E35" s="16"/>
      <c r="F35" s="16">
        <v>-907057</v>
      </c>
      <c r="G35" s="16">
        <v>-30661</v>
      </c>
      <c r="H35" s="16">
        <v>1519.65</v>
      </c>
      <c r="I35" s="16">
        <v>-456946</v>
      </c>
      <c r="J35" s="16"/>
      <c r="K35" s="146"/>
      <c r="L35" s="146"/>
      <c r="M35" s="230">
        <f t="shared" si="24"/>
        <v>0</v>
      </c>
      <c r="N35" s="196"/>
      <c r="O35" s="196"/>
      <c r="P35" s="230">
        <f t="shared" si="25"/>
        <v>-906126.62</v>
      </c>
      <c r="Q35" s="335"/>
      <c r="R35" s="335"/>
      <c r="S35" s="230">
        <f t="shared" si="26"/>
        <v>-29127.95</v>
      </c>
      <c r="T35" s="363"/>
      <c r="U35" s="363"/>
      <c r="V35" s="230">
        <f t="shared" si="27"/>
        <v>1519.6</v>
      </c>
      <c r="W35" s="349"/>
      <c r="X35" s="349"/>
      <c r="Y35" s="230">
        <f t="shared" si="28"/>
        <v>-434098.7</v>
      </c>
      <c r="Z35" s="208"/>
      <c r="AA35" s="208"/>
      <c r="AB35" s="230">
        <f t="shared" si="29"/>
        <v>0</v>
      </c>
      <c r="AC35" s="508"/>
      <c r="AD35" s="508"/>
      <c r="AE35" s="539"/>
      <c r="AF35" s="539"/>
      <c r="AG35" s="467"/>
      <c r="AH35" s="467"/>
      <c r="AI35" s="8">
        <f t="shared" si="16"/>
        <v>-25310.680000000168</v>
      </c>
    </row>
    <row r="36" spans="1:35" x14ac:dyDescent="0.2">
      <c r="A36" s="78">
        <v>16</v>
      </c>
      <c r="B36" s="79"/>
      <c r="C36" s="18" t="s">
        <v>130</v>
      </c>
      <c r="D36" s="16"/>
      <c r="E36" s="16"/>
      <c r="F36" s="16">
        <v>19770040</v>
      </c>
      <c r="G36" s="16">
        <v>178087</v>
      </c>
      <c r="H36" s="16"/>
      <c r="I36" s="16">
        <v>1871505</v>
      </c>
      <c r="J36" s="16"/>
      <c r="K36" s="146"/>
      <c r="L36" s="146"/>
      <c r="M36" s="230">
        <f t="shared" si="24"/>
        <v>0</v>
      </c>
      <c r="N36" s="196"/>
      <c r="O36" s="196"/>
      <c r="P36" s="230">
        <f t="shared" si="25"/>
        <v>19749761.670000002</v>
      </c>
      <c r="Q36" s="335"/>
      <c r="R36" s="335"/>
      <c r="S36" s="230">
        <f t="shared" si="26"/>
        <v>169182.65</v>
      </c>
      <c r="T36" s="363"/>
      <c r="U36" s="363"/>
      <c r="V36" s="230">
        <f t="shared" si="27"/>
        <v>0</v>
      </c>
      <c r="W36" s="349"/>
      <c r="X36" s="349"/>
      <c r="Y36" s="230">
        <f t="shared" si="28"/>
        <v>1777929.75</v>
      </c>
      <c r="Z36" s="208"/>
      <c r="AA36" s="208"/>
      <c r="AB36" s="230">
        <f t="shared" si="29"/>
        <v>0</v>
      </c>
      <c r="AC36" s="508"/>
      <c r="AD36" s="508"/>
      <c r="AE36" s="539"/>
      <c r="AF36" s="539"/>
      <c r="AG36" s="467"/>
      <c r="AH36" s="467"/>
      <c r="AI36" s="8">
        <f t="shared" si="16"/>
        <v>122757.9299999997</v>
      </c>
    </row>
    <row r="37" spans="1:35" x14ac:dyDescent="0.2">
      <c r="A37" s="78">
        <v>17</v>
      </c>
      <c r="B37" s="79"/>
      <c r="C37" s="18" t="s">
        <v>37</v>
      </c>
      <c r="D37" s="16"/>
      <c r="E37" s="16"/>
      <c r="F37" s="16">
        <v>935000</v>
      </c>
      <c r="G37" s="16"/>
      <c r="H37" s="16"/>
      <c r="I37" s="16"/>
      <c r="J37" s="16"/>
      <c r="K37" s="146"/>
      <c r="L37" s="146"/>
      <c r="M37" s="230">
        <f t="shared" si="24"/>
        <v>0</v>
      </c>
      <c r="N37" s="196"/>
      <c r="O37" s="196"/>
      <c r="P37" s="230">
        <f t="shared" si="25"/>
        <v>934040.96</v>
      </c>
      <c r="Q37" s="335"/>
      <c r="R37" s="335"/>
      <c r="S37" s="230">
        <f t="shared" si="26"/>
        <v>0</v>
      </c>
      <c r="T37" s="363"/>
      <c r="U37" s="363"/>
      <c r="V37" s="230">
        <f t="shared" si="27"/>
        <v>0</v>
      </c>
      <c r="W37" s="349"/>
      <c r="X37" s="349"/>
      <c r="Y37" s="230">
        <f t="shared" si="28"/>
        <v>0</v>
      </c>
      <c r="Z37" s="208"/>
      <c r="AA37" s="208"/>
      <c r="AB37" s="230">
        <f t="shared" si="29"/>
        <v>0</v>
      </c>
      <c r="AC37" s="508"/>
      <c r="AD37" s="508"/>
      <c r="AE37" s="539"/>
      <c r="AF37" s="539"/>
      <c r="AG37" s="467"/>
      <c r="AH37" s="467"/>
      <c r="AI37" s="8">
        <f t="shared" si="16"/>
        <v>959.04000000003725</v>
      </c>
    </row>
    <row r="38" spans="1:35" ht="13.5" thickBot="1" x14ac:dyDescent="0.25">
      <c r="A38" s="78">
        <v>18</v>
      </c>
      <c r="B38" s="79"/>
      <c r="C38" s="18" t="s">
        <v>9</v>
      </c>
      <c r="D38" s="16">
        <v>1399813.44</v>
      </c>
      <c r="E38" s="16"/>
      <c r="F38" s="16">
        <v>2893692</v>
      </c>
      <c r="G38" s="16">
        <v>6648824</v>
      </c>
      <c r="H38" s="16">
        <v>65343.58</v>
      </c>
      <c r="I38" s="16">
        <v>1100142</v>
      </c>
      <c r="J38" s="16"/>
      <c r="K38" s="146"/>
      <c r="L38" s="146"/>
      <c r="M38" s="230">
        <f t="shared" si="24"/>
        <v>0</v>
      </c>
      <c r="N38" s="196"/>
      <c r="O38" s="196"/>
      <c r="P38" s="230">
        <f t="shared" si="25"/>
        <v>2890723.91</v>
      </c>
      <c r="Q38" s="335"/>
      <c r="R38" s="335"/>
      <c r="S38" s="230">
        <f t="shared" si="26"/>
        <v>6316382.7999999998</v>
      </c>
      <c r="T38" s="363"/>
      <c r="U38" s="363"/>
      <c r="V38" s="230">
        <f t="shared" si="27"/>
        <v>65341.57</v>
      </c>
      <c r="W38" s="349">
        <f>1385.21*5%</f>
        <v>69.260500000000008</v>
      </c>
      <c r="X38" s="349"/>
      <c r="Y38" s="230">
        <f t="shared" si="28"/>
        <v>1045134.9</v>
      </c>
      <c r="Z38" s="208"/>
      <c r="AA38" s="208"/>
      <c r="AB38" s="230">
        <f t="shared" si="29"/>
        <v>0</v>
      </c>
      <c r="AC38" s="508"/>
      <c r="AD38" s="508"/>
      <c r="AE38" s="539"/>
      <c r="AF38" s="539"/>
      <c r="AG38" s="467"/>
      <c r="AH38" s="467"/>
      <c r="AI38" s="8">
        <f t="shared" si="16"/>
        <v>1790162.5794999972</v>
      </c>
    </row>
    <row r="39" spans="1:35" ht="13.5" thickBot="1" x14ac:dyDescent="0.25">
      <c r="A39" s="78"/>
      <c r="B39" s="79"/>
      <c r="C39" s="13" t="s">
        <v>190</v>
      </c>
      <c r="D39" s="14">
        <f>D22+D23+D24+D25+D29+D30+D35+D38+D36+D37</f>
        <v>9693789.5</v>
      </c>
      <c r="E39" s="14">
        <f t="shared" ref="E39:AI39" si="30">E22+E23+E24+E25+E29+E30+E35+E38+E36+E37</f>
        <v>0</v>
      </c>
      <c r="F39" s="14">
        <f t="shared" si="30"/>
        <v>282259938</v>
      </c>
      <c r="G39" s="14">
        <f t="shared" si="30"/>
        <v>19632884</v>
      </c>
      <c r="H39" s="14">
        <f t="shared" si="30"/>
        <v>16636276.440000001</v>
      </c>
      <c r="I39" s="14">
        <f t="shared" si="30"/>
        <v>48589814</v>
      </c>
      <c r="J39" s="14">
        <f t="shared" si="30"/>
        <v>0</v>
      </c>
      <c r="K39" s="145">
        <f t="shared" si="30"/>
        <v>0</v>
      </c>
      <c r="L39" s="145">
        <f t="shared" si="30"/>
        <v>0</v>
      </c>
      <c r="M39" s="245">
        <f t="shared" ref="M39" si="31">M22+M23+M24+M25+M29+M30+M35+M38+M36+M37</f>
        <v>0</v>
      </c>
      <c r="N39" s="195">
        <f t="shared" si="30"/>
        <v>86.690593365485981</v>
      </c>
      <c r="O39" s="195">
        <f t="shared" si="30"/>
        <v>0</v>
      </c>
      <c r="P39" s="245">
        <f t="shared" ref="P39:Y39" si="32">P22+P23+P24+P25+P29+P30+P35+P38+P36+P37</f>
        <v>281970421.06999993</v>
      </c>
      <c r="Q39" s="336">
        <f t="shared" si="32"/>
        <v>172.20000000000002</v>
      </c>
      <c r="R39" s="336">
        <f t="shared" si="32"/>
        <v>0</v>
      </c>
      <c r="S39" s="245">
        <f t="shared" si="32"/>
        <v>18651239.800000001</v>
      </c>
      <c r="T39" s="364">
        <f t="shared" si="32"/>
        <v>0.23572996225000001</v>
      </c>
      <c r="U39" s="364">
        <f t="shared" si="32"/>
        <v>0</v>
      </c>
      <c r="V39" s="245">
        <f t="shared" si="32"/>
        <v>16635765.569999998</v>
      </c>
      <c r="W39" s="350">
        <f t="shared" si="32"/>
        <v>14428.177500000002</v>
      </c>
      <c r="X39" s="350">
        <f t="shared" si="32"/>
        <v>0</v>
      </c>
      <c r="Y39" s="245">
        <f t="shared" si="32"/>
        <v>46160323.299999997</v>
      </c>
      <c r="Z39" s="207">
        <f t="shared" si="30"/>
        <v>0</v>
      </c>
      <c r="AA39" s="207">
        <f t="shared" si="30"/>
        <v>0</v>
      </c>
      <c r="AB39" s="245">
        <f t="shared" si="30"/>
        <v>0</v>
      </c>
      <c r="AC39" s="509">
        <f t="shared" si="30"/>
        <v>0</v>
      </c>
      <c r="AD39" s="509">
        <f t="shared" si="30"/>
        <v>0</v>
      </c>
      <c r="AE39" s="540">
        <f t="shared" si="30"/>
        <v>0</v>
      </c>
      <c r="AF39" s="540">
        <f t="shared" si="30"/>
        <v>0</v>
      </c>
      <c r="AG39" s="468">
        <f t="shared" si="30"/>
        <v>0</v>
      </c>
      <c r="AH39" s="468">
        <f t="shared" si="30"/>
        <v>0</v>
      </c>
      <c r="AI39" s="15">
        <f t="shared" si="30"/>
        <v>13380264.896176651</v>
      </c>
    </row>
    <row r="40" spans="1:35" ht="13.5" thickBot="1" x14ac:dyDescent="0.25">
      <c r="A40" s="78"/>
      <c r="B40" s="79"/>
      <c r="C40" s="19" t="s">
        <v>53</v>
      </c>
      <c r="D40" s="20">
        <f>D19-D39</f>
        <v>2281107.8800000008</v>
      </c>
      <c r="E40" s="20">
        <f t="shared" ref="E40:N40" si="33">E19-E39</f>
        <v>0</v>
      </c>
      <c r="F40" s="20">
        <f t="shared" si="33"/>
        <v>9827687</v>
      </c>
      <c r="G40" s="20">
        <f t="shared" si="33"/>
        <v>803360</v>
      </c>
      <c r="H40" s="20">
        <f t="shared" si="33"/>
        <v>1016562.5299999975</v>
      </c>
      <c r="I40" s="20">
        <f t="shared" si="33"/>
        <v>148050</v>
      </c>
      <c r="J40" s="20">
        <f t="shared" si="33"/>
        <v>0</v>
      </c>
      <c r="K40" s="147">
        <f t="shared" si="33"/>
        <v>0</v>
      </c>
      <c r="L40" s="147">
        <f t="shared" si="33"/>
        <v>0</v>
      </c>
      <c r="M40" s="247">
        <f t="shared" ref="M40" si="34">M19-M39</f>
        <v>0</v>
      </c>
      <c r="N40" s="197">
        <f t="shared" si="33"/>
        <v>-86.690593365485981</v>
      </c>
      <c r="O40" s="197">
        <f t="shared" ref="O40:AI40" si="35">O19-O39</f>
        <v>86.690593365485981</v>
      </c>
      <c r="P40" s="247">
        <f t="shared" si="35"/>
        <v>9817606.6400000453</v>
      </c>
      <c r="Q40" s="338">
        <f t="shared" si="35"/>
        <v>-172.20000000000002</v>
      </c>
      <c r="R40" s="338">
        <f t="shared" si="35"/>
        <v>172.20000000000002</v>
      </c>
      <c r="S40" s="247">
        <f t="shared" si="35"/>
        <v>763191.99999999627</v>
      </c>
      <c r="T40" s="366">
        <f t="shared" si="35"/>
        <v>-0.23572996225000001</v>
      </c>
      <c r="U40" s="366">
        <f t="shared" si="35"/>
        <v>0.23572996225000001</v>
      </c>
      <c r="V40" s="247">
        <f t="shared" si="35"/>
        <v>1016531.3400000017</v>
      </c>
      <c r="W40" s="352">
        <f t="shared" si="35"/>
        <v>-14428.177500000002</v>
      </c>
      <c r="X40" s="352">
        <f t="shared" si="35"/>
        <v>14428.177500000002</v>
      </c>
      <c r="Y40" s="247">
        <f t="shared" si="35"/>
        <v>140647.5</v>
      </c>
      <c r="Z40" s="209">
        <f t="shared" si="35"/>
        <v>0</v>
      </c>
      <c r="AA40" s="209">
        <f t="shared" si="35"/>
        <v>0</v>
      </c>
      <c r="AB40" s="247">
        <f t="shared" si="35"/>
        <v>0</v>
      </c>
      <c r="AC40" s="511">
        <f t="shared" si="35"/>
        <v>0</v>
      </c>
      <c r="AD40" s="511">
        <f t="shared" si="35"/>
        <v>0</v>
      </c>
      <c r="AE40" s="542">
        <f t="shared" si="35"/>
        <v>0</v>
      </c>
      <c r="AF40" s="542">
        <f t="shared" si="35"/>
        <v>0</v>
      </c>
      <c r="AG40" s="470">
        <f t="shared" si="35"/>
        <v>0</v>
      </c>
      <c r="AH40" s="470">
        <f t="shared" si="35"/>
        <v>0</v>
      </c>
      <c r="AI40" s="21">
        <f t="shared" si="35"/>
        <v>2338789.930000063</v>
      </c>
    </row>
    <row r="41" spans="1:35" x14ac:dyDescent="0.2">
      <c r="A41" s="78"/>
      <c r="B41" s="79"/>
      <c r="C41" s="19"/>
      <c r="D41" s="16"/>
      <c r="E41" s="16"/>
      <c r="F41" s="16"/>
      <c r="G41" s="16"/>
      <c r="H41" s="16"/>
      <c r="I41" s="16"/>
      <c r="J41" s="16"/>
      <c r="K41" s="146"/>
      <c r="L41" s="146"/>
      <c r="M41" s="246"/>
      <c r="N41" s="196"/>
      <c r="O41" s="196"/>
      <c r="P41" s="246"/>
      <c r="Q41" s="337"/>
      <c r="R41" s="337"/>
      <c r="S41" s="246"/>
      <c r="T41" s="365"/>
      <c r="U41" s="365"/>
      <c r="V41" s="246"/>
      <c r="W41" s="351"/>
      <c r="X41" s="351"/>
      <c r="Y41" s="246"/>
      <c r="Z41" s="208"/>
      <c r="AA41" s="208"/>
      <c r="AB41" s="246"/>
      <c r="AC41" s="510"/>
      <c r="AD41" s="510"/>
      <c r="AE41" s="541"/>
      <c r="AF41" s="541"/>
      <c r="AG41" s="469"/>
      <c r="AH41" s="469"/>
      <c r="AI41" s="17"/>
    </row>
    <row r="42" spans="1:35" x14ac:dyDescent="0.2">
      <c r="A42" s="78"/>
      <c r="B42" s="79"/>
      <c r="C42" s="6" t="s">
        <v>10</v>
      </c>
      <c r="D42" s="16"/>
      <c r="E42" s="16"/>
      <c r="F42" s="16"/>
      <c r="G42" s="16"/>
      <c r="H42" s="16"/>
      <c r="I42" s="16"/>
      <c r="J42" s="16"/>
      <c r="K42" s="146"/>
      <c r="L42" s="146"/>
      <c r="M42" s="246"/>
      <c r="N42" s="196"/>
      <c r="O42" s="196"/>
      <c r="P42" s="246"/>
      <c r="Q42" s="337"/>
      <c r="R42" s="337"/>
      <c r="S42" s="246"/>
      <c r="T42" s="365"/>
      <c r="U42" s="365"/>
      <c r="V42" s="246"/>
      <c r="W42" s="351"/>
      <c r="X42" s="351"/>
      <c r="Y42" s="246"/>
      <c r="Z42" s="208"/>
      <c r="AA42" s="208"/>
      <c r="AB42" s="246"/>
      <c r="AC42" s="510"/>
      <c r="AD42" s="510"/>
      <c r="AE42" s="541"/>
      <c r="AF42" s="541"/>
      <c r="AG42" s="469"/>
      <c r="AH42" s="469"/>
      <c r="AI42" s="17"/>
    </row>
    <row r="43" spans="1:35" x14ac:dyDescent="0.2">
      <c r="A43" s="78"/>
      <c r="B43" s="79"/>
      <c r="C43" s="22" t="s">
        <v>119</v>
      </c>
      <c r="D43" s="16"/>
      <c r="E43" s="16"/>
      <c r="F43" s="16"/>
      <c r="G43" s="16"/>
      <c r="H43" s="16"/>
      <c r="I43" s="16"/>
      <c r="J43" s="16"/>
      <c r="K43" s="146"/>
      <c r="L43" s="146"/>
      <c r="M43" s="246"/>
      <c r="N43" s="196"/>
      <c r="O43" s="196"/>
      <c r="P43" s="246"/>
      <c r="Q43" s="337"/>
      <c r="R43" s="337"/>
      <c r="S43" s="246"/>
      <c r="T43" s="365"/>
      <c r="U43" s="365"/>
      <c r="V43" s="246"/>
      <c r="W43" s="351"/>
      <c r="X43" s="351"/>
      <c r="Y43" s="246"/>
      <c r="Z43" s="208"/>
      <c r="AA43" s="208"/>
      <c r="AB43" s="246"/>
      <c r="AC43" s="510"/>
      <c r="AD43" s="510"/>
      <c r="AE43" s="541"/>
      <c r="AF43" s="541"/>
      <c r="AG43" s="469"/>
      <c r="AH43" s="469"/>
      <c r="AI43" s="17"/>
    </row>
    <row r="44" spans="1:35" x14ac:dyDescent="0.2">
      <c r="A44" s="78">
        <v>19</v>
      </c>
      <c r="B44" s="79"/>
      <c r="C44" s="4" t="s">
        <v>11</v>
      </c>
      <c r="D44" s="16"/>
      <c r="E44" s="16"/>
      <c r="F44" s="16"/>
      <c r="G44" s="16"/>
      <c r="H44" s="16"/>
      <c r="I44" s="16"/>
      <c r="J44" s="16"/>
      <c r="K44" s="146"/>
      <c r="L44" s="146"/>
      <c r="M44" s="230"/>
      <c r="N44" s="196"/>
      <c r="O44" s="196"/>
      <c r="P44" s="230"/>
      <c r="Q44" s="335"/>
      <c r="R44" s="335"/>
      <c r="S44" s="230"/>
      <c r="T44" s="363"/>
      <c r="U44" s="363"/>
      <c r="V44" s="230"/>
      <c r="W44" s="349"/>
      <c r="X44" s="349"/>
      <c r="Y44" s="230"/>
      <c r="Z44" s="208"/>
      <c r="AA44" s="208"/>
      <c r="AB44" s="230"/>
      <c r="AC44" s="508"/>
      <c r="AD44" s="508"/>
      <c r="AE44" s="539"/>
      <c r="AF44" s="539"/>
      <c r="AG44" s="467"/>
      <c r="AH44" s="467"/>
      <c r="AI44" s="17"/>
    </row>
    <row r="45" spans="1:35" x14ac:dyDescent="0.2">
      <c r="A45" s="78"/>
      <c r="B45" s="79" t="s">
        <v>29</v>
      </c>
      <c r="C45" s="10" t="s">
        <v>153</v>
      </c>
      <c r="D45" s="16"/>
      <c r="E45" s="16"/>
      <c r="F45" s="16"/>
      <c r="G45" s="16"/>
      <c r="H45" s="16"/>
      <c r="I45" s="16"/>
      <c r="J45" s="16"/>
      <c r="K45" s="146"/>
      <c r="L45" s="146"/>
      <c r="M45" s="230">
        <f>ROUND(E45*(1-8.18%),2)</f>
        <v>0</v>
      </c>
      <c r="N45" s="196"/>
      <c r="O45" s="196"/>
      <c r="P45" s="230">
        <f>ROUND(F45*(1-0.10257103%),2)</f>
        <v>0</v>
      </c>
      <c r="Q45" s="335"/>
      <c r="R45" s="335"/>
      <c r="S45" s="230">
        <f>ROUND(G45*(1-5%),2)</f>
        <v>0</v>
      </c>
      <c r="T45" s="363"/>
      <c r="U45" s="363"/>
      <c r="V45" s="230">
        <f>ROUND(H45*(1-0.0030707%),2)</f>
        <v>0</v>
      </c>
      <c r="W45" s="349"/>
      <c r="X45" s="349"/>
      <c r="Y45" s="230">
        <f>ROUND(I45*(1-5%),2)</f>
        <v>0</v>
      </c>
      <c r="Z45" s="208"/>
      <c r="AA45" s="208"/>
      <c r="AB45" s="230">
        <f>ROUND(J45*(1-1.31%),2)</f>
        <v>0</v>
      </c>
      <c r="AC45" s="508"/>
      <c r="AD45" s="508"/>
      <c r="AE45" s="539"/>
      <c r="AF45" s="539"/>
      <c r="AG45" s="467"/>
      <c r="AH45" s="467"/>
      <c r="AI45" s="8">
        <f>SUM(D45:J45)-SUM(K45:AH45)</f>
        <v>0</v>
      </c>
    </row>
    <row r="46" spans="1:35" x14ac:dyDescent="0.2">
      <c r="A46" s="78"/>
      <c r="B46" s="79" t="s">
        <v>30</v>
      </c>
      <c r="C46" s="10" t="s">
        <v>103</v>
      </c>
      <c r="D46" s="16"/>
      <c r="E46" s="16"/>
      <c r="F46" s="16"/>
      <c r="G46" s="16"/>
      <c r="H46" s="571"/>
      <c r="I46" s="16"/>
      <c r="J46" s="16"/>
      <c r="K46" s="146"/>
      <c r="L46" s="146"/>
      <c r="M46" s="230">
        <f>ROUND(E46*(1-8.18%),2)</f>
        <v>0</v>
      </c>
      <c r="N46" s="196"/>
      <c r="O46" s="196"/>
      <c r="P46" s="230">
        <f>ROUND(F46*(1-0.10257103%),2)</f>
        <v>0</v>
      </c>
      <c r="Q46" s="335"/>
      <c r="R46" s="335"/>
      <c r="S46" s="230">
        <f>ROUND(G46*(1-5%),2)</f>
        <v>0</v>
      </c>
      <c r="T46" s="363"/>
      <c r="U46" s="363"/>
      <c r="V46" s="230">
        <f>ROUND(H46*(1-0.0030707%),2)</f>
        <v>0</v>
      </c>
      <c r="W46" s="349"/>
      <c r="X46" s="349"/>
      <c r="Y46" s="230">
        <f>ROUND(I46*(1-5%),2)</f>
        <v>0</v>
      </c>
      <c r="Z46" s="208"/>
      <c r="AA46" s="208"/>
      <c r="AB46" s="230">
        <f>ROUND(J46*(1-1.31%),2)</f>
        <v>0</v>
      </c>
      <c r="AC46" s="508"/>
      <c r="AD46" s="508"/>
      <c r="AE46" s="539"/>
      <c r="AF46" s="539"/>
      <c r="AG46" s="467"/>
      <c r="AH46" s="467"/>
      <c r="AI46" s="8">
        <f>SUM(D46:J46)-SUM(K46:AH46)</f>
        <v>0</v>
      </c>
    </row>
    <row r="47" spans="1:35" x14ac:dyDescent="0.2">
      <c r="A47" s="78"/>
      <c r="B47" s="79" t="s">
        <v>31</v>
      </c>
      <c r="C47" s="10" t="s">
        <v>102</v>
      </c>
      <c r="D47" s="16"/>
      <c r="E47" s="16"/>
      <c r="F47" s="16"/>
      <c r="G47" s="16">
        <v>344034</v>
      </c>
      <c r="H47" s="16"/>
      <c r="I47" s="16"/>
      <c r="J47" s="16"/>
      <c r="K47" s="146"/>
      <c r="L47" s="146"/>
      <c r="M47" s="230">
        <f>ROUND(E47*(1-8.18%),2)</f>
        <v>0</v>
      </c>
      <c r="N47" s="196"/>
      <c r="O47" s="196"/>
      <c r="P47" s="230">
        <f>ROUND(F47*(1-0.10257103%),2)</f>
        <v>0</v>
      </c>
      <c r="Q47" s="335"/>
      <c r="R47" s="335"/>
      <c r="S47" s="230">
        <f>ROUND(G47*(1-5%),2)</f>
        <v>326832.3</v>
      </c>
      <c r="T47" s="570"/>
      <c r="U47" s="363"/>
      <c r="V47" s="230">
        <f>ROUND(H47*(1-0.0030707%),2)</f>
        <v>0</v>
      </c>
      <c r="W47" s="349"/>
      <c r="X47" s="349"/>
      <c r="Y47" s="230">
        <f>ROUND(I47*(1-5%),2)</f>
        <v>0</v>
      </c>
      <c r="Z47" s="208"/>
      <c r="AA47" s="208"/>
      <c r="AB47" s="230">
        <f>ROUND(J47*(1-1.31%),2)</f>
        <v>0</v>
      </c>
      <c r="AC47" s="508"/>
      <c r="AD47" s="508"/>
      <c r="AE47" s="539"/>
      <c r="AF47" s="539"/>
      <c r="AG47" s="467"/>
      <c r="AH47" s="467"/>
      <c r="AI47" s="8">
        <f>SUM(D47:J47)-SUM(K47:AH47)</f>
        <v>17201.700000000012</v>
      </c>
    </row>
    <row r="48" spans="1:35" x14ac:dyDescent="0.2">
      <c r="A48" s="78">
        <v>20</v>
      </c>
      <c r="B48" s="79"/>
      <c r="C48" s="4" t="s">
        <v>12</v>
      </c>
      <c r="D48" s="16">
        <v>852.54</v>
      </c>
      <c r="E48" s="16"/>
      <c r="F48" s="16">
        <v>3644354</v>
      </c>
      <c r="G48" s="16"/>
      <c r="H48" s="16">
        <v>7.0000000000000007E-2</v>
      </c>
      <c r="I48" s="16">
        <v>8151</v>
      </c>
      <c r="J48" s="16"/>
      <c r="K48" s="146"/>
      <c r="L48" s="146"/>
      <c r="M48" s="230">
        <f>ROUND(E48*(1-8.18%),2)</f>
        <v>0</v>
      </c>
      <c r="N48" s="196"/>
      <c r="O48" s="196"/>
      <c r="P48" s="230">
        <f>ROUND(F48*(1-0.10257103%),2)</f>
        <v>3640615.95</v>
      </c>
      <c r="Q48" s="335"/>
      <c r="R48" s="335"/>
      <c r="S48" s="230">
        <f>ROUND(G48*(1-5%),2)</f>
        <v>0</v>
      </c>
      <c r="T48" s="363"/>
      <c r="U48" s="363"/>
      <c r="V48" s="230">
        <f>ROUND(H48*(1-0.0030707%),2)</f>
        <v>7.0000000000000007E-2</v>
      </c>
      <c r="W48" s="349"/>
      <c r="X48" s="349"/>
      <c r="Y48" s="230">
        <f>ROUND(I48*(1-5%),2)</f>
        <v>7743.45</v>
      </c>
      <c r="Z48" s="208"/>
      <c r="AA48" s="208"/>
      <c r="AB48" s="230">
        <f>ROUND(J48*(1-1.31%),2)</f>
        <v>0</v>
      </c>
      <c r="AC48" s="508"/>
      <c r="AD48" s="508"/>
      <c r="AE48" s="539"/>
      <c r="AF48" s="539"/>
      <c r="AG48" s="467"/>
      <c r="AH48" s="467"/>
      <c r="AI48" s="8">
        <f>SUM(D48:J48)-SUM(K48:AH48)</f>
        <v>4998.1399999996647</v>
      </c>
    </row>
    <row r="49" spans="1:35" x14ac:dyDescent="0.2">
      <c r="A49" s="78"/>
      <c r="B49" s="79"/>
      <c r="C49" s="13" t="s">
        <v>120</v>
      </c>
      <c r="D49" s="23">
        <f>SUM(D45:D48)</f>
        <v>852.54</v>
      </c>
      <c r="E49" s="23">
        <f t="shared" ref="E49:AI49" si="36">SUM(E45:E48)</f>
        <v>0</v>
      </c>
      <c r="F49" s="23">
        <f t="shared" si="36"/>
        <v>3644354</v>
      </c>
      <c r="G49" s="23">
        <f t="shared" si="36"/>
        <v>344034</v>
      </c>
      <c r="H49" s="23">
        <f>SUM(H45:H48)</f>
        <v>7.0000000000000007E-2</v>
      </c>
      <c r="I49" s="23">
        <f t="shared" si="36"/>
        <v>8151</v>
      </c>
      <c r="J49" s="23">
        <f t="shared" si="36"/>
        <v>0</v>
      </c>
      <c r="K49" s="148">
        <f t="shared" si="36"/>
        <v>0</v>
      </c>
      <c r="L49" s="148">
        <f t="shared" si="36"/>
        <v>0</v>
      </c>
      <c r="M49" s="248">
        <f t="shared" ref="M49" si="37">SUM(M45:M48)</f>
        <v>0</v>
      </c>
      <c r="N49" s="198">
        <f t="shared" si="36"/>
        <v>0</v>
      </c>
      <c r="O49" s="198">
        <f t="shared" si="36"/>
        <v>0</v>
      </c>
      <c r="P49" s="248">
        <f t="shared" ref="P49:Y49" si="38">SUM(P45:P48)</f>
        <v>3640615.95</v>
      </c>
      <c r="Q49" s="339">
        <f t="shared" si="38"/>
        <v>0</v>
      </c>
      <c r="R49" s="339">
        <f t="shared" si="38"/>
        <v>0</v>
      </c>
      <c r="S49" s="248">
        <f t="shared" si="38"/>
        <v>326832.3</v>
      </c>
      <c r="T49" s="367">
        <f t="shared" si="38"/>
        <v>0</v>
      </c>
      <c r="U49" s="367">
        <f t="shared" si="38"/>
        <v>0</v>
      </c>
      <c r="V49" s="248">
        <f t="shared" si="38"/>
        <v>7.0000000000000007E-2</v>
      </c>
      <c r="W49" s="353">
        <f t="shared" si="38"/>
        <v>0</v>
      </c>
      <c r="X49" s="353">
        <f t="shared" si="38"/>
        <v>0</v>
      </c>
      <c r="Y49" s="248">
        <f t="shared" si="38"/>
        <v>7743.45</v>
      </c>
      <c r="Z49" s="210">
        <f t="shared" si="36"/>
        <v>0</v>
      </c>
      <c r="AA49" s="210">
        <f t="shared" si="36"/>
        <v>0</v>
      </c>
      <c r="AB49" s="248">
        <f t="shared" si="36"/>
        <v>0</v>
      </c>
      <c r="AC49" s="512">
        <f t="shared" si="36"/>
        <v>0</v>
      </c>
      <c r="AD49" s="512">
        <f t="shared" si="36"/>
        <v>0</v>
      </c>
      <c r="AE49" s="543">
        <f t="shared" si="36"/>
        <v>0</v>
      </c>
      <c r="AF49" s="543">
        <f t="shared" si="36"/>
        <v>0</v>
      </c>
      <c r="AG49" s="471">
        <f t="shared" si="36"/>
        <v>0</v>
      </c>
      <c r="AH49" s="471">
        <f t="shared" si="36"/>
        <v>0</v>
      </c>
      <c r="AI49" s="24">
        <f t="shared" si="36"/>
        <v>22199.839999999676</v>
      </c>
    </row>
    <row r="50" spans="1:35" x14ac:dyDescent="0.2">
      <c r="A50" s="78"/>
      <c r="B50" s="79"/>
      <c r="C50" s="25" t="s">
        <v>121</v>
      </c>
      <c r="D50" s="16"/>
      <c r="E50" s="16"/>
      <c r="F50" s="16"/>
      <c r="G50" s="16"/>
      <c r="H50" s="16"/>
      <c r="I50" s="16"/>
      <c r="J50" s="16"/>
      <c r="K50" s="146"/>
      <c r="L50" s="146"/>
      <c r="M50" s="246"/>
      <c r="N50" s="196"/>
      <c r="O50" s="196"/>
      <c r="P50" s="246"/>
      <c r="Q50" s="337"/>
      <c r="R50" s="337"/>
      <c r="S50" s="246"/>
      <c r="T50" s="365"/>
      <c r="U50" s="365"/>
      <c r="V50" s="246"/>
      <c r="W50" s="351"/>
      <c r="X50" s="351"/>
      <c r="Y50" s="246"/>
      <c r="Z50" s="208"/>
      <c r="AA50" s="208"/>
      <c r="AB50" s="246"/>
      <c r="AC50" s="510"/>
      <c r="AD50" s="510"/>
      <c r="AE50" s="541"/>
      <c r="AF50" s="541"/>
      <c r="AG50" s="469"/>
      <c r="AH50" s="469"/>
      <c r="AI50" s="17"/>
    </row>
    <row r="51" spans="1:35" x14ac:dyDescent="0.2">
      <c r="A51" s="78">
        <v>21</v>
      </c>
      <c r="B51" s="79"/>
      <c r="C51" s="4" t="s">
        <v>13</v>
      </c>
      <c r="D51" s="16"/>
      <c r="E51" s="16"/>
      <c r="F51" s="16"/>
      <c r="G51" s="16"/>
      <c r="H51" s="16"/>
      <c r="I51" s="16"/>
      <c r="J51" s="16"/>
      <c r="K51" s="146"/>
      <c r="L51" s="146"/>
      <c r="M51" s="246"/>
      <c r="N51" s="196"/>
      <c r="O51" s="196"/>
      <c r="P51" s="246"/>
      <c r="Q51" s="337"/>
      <c r="R51" s="337"/>
      <c r="S51" s="246"/>
      <c r="T51" s="365"/>
      <c r="U51" s="365"/>
      <c r="V51" s="246"/>
      <c r="W51" s="351"/>
      <c r="X51" s="351"/>
      <c r="Y51" s="246"/>
      <c r="Z51" s="208"/>
      <c r="AA51" s="208"/>
      <c r="AB51" s="246"/>
      <c r="AC51" s="510"/>
      <c r="AD51" s="510"/>
      <c r="AE51" s="541"/>
      <c r="AF51" s="541"/>
      <c r="AG51" s="469"/>
      <c r="AH51" s="469"/>
      <c r="AI51" s="17"/>
    </row>
    <row r="52" spans="1:35" x14ac:dyDescent="0.2">
      <c r="A52" s="78"/>
      <c r="B52" s="79" t="s">
        <v>29</v>
      </c>
      <c r="C52" s="10" t="s">
        <v>167</v>
      </c>
      <c r="D52" s="16"/>
      <c r="E52" s="16"/>
      <c r="F52" s="16"/>
      <c r="G52" s="16"/>
      <c r="H52" s="16">
        <v>0.94</v>
      </c>
      <c r="I52" s="16"/>
      <c r="J52" s="16"/>
      <c r="K52" s="146"/>
      <c r="L52" s="146"/>
      <c r="M52" s="230">
        <f>ROUND(E52*(1-8.18%),2)</f>
        <v>0</v>
      </c>
      <c r="N52" s="196"/>
      <c r="O52" s="196"/>
      <c r="P52" s="230">
        <f>ROUND(F52*(1-0.10257103%),2)</f>
        <v>0</v>
      </c>
      <c r="Q52" s="335"/>
      <c r="R52" s="335"/>
      <c r="S52" s="230">
        <f>ROUND(G52*(1-5%),2)</f>
        <v>0</v>
      </c>
      <c r="T52" s="363"/>
      <c r="U52" s="363"/>
      <c r="V52" s="230">
        <f>ROUND(H52*(1-0.0030707%),2)</f>
        <v>0.94</v>
      </c>
      <c r="W52" s="349"/>
      <c r="X52" s="349"/>
      <c r="Y52" s="230">
        <f>ROUND(I52*(1-5%),2)</f>
        <v>0</v>
      </c>
      <c r="Z52" s="208"/>
      <c r="AA52" s="208"/>
      <c r="AB52" s="230">
        <f>ROUND(J52*(1-1.31%),2)</f>
        <v>0</v>
      </c>
      <c r="AC52" s="508"/>
      <c r="AD52" s="508"/>
      <c r="AE52" s="539"/>
      <c r="AF52" s="539"/>
      <c r="AG52" s="467"/>
      <c r="AH52" s="467"/>
      <c r="AI52" s="8">
        <f>SUM(D52:J52)-SUM(K52:AH52)</f>
        <v>0</v>
      </c>
    </row>
    <row r="53" spans="1:35" x14ac:dyDescent="0.2">
      <c r="A53" s="78"/>
      <c r="B53" s="79" t="s">
        <v>30</v>
      </c>
      <c r="C53" s="10" t="s">
        <v>168</v>
      </c>
      <c r="D53" s="16"/>
      <c r="E53" s="16"/>
      <c r="F53" s="16">
        <v>2518743</v>
      </c>
      <c r="G53" s="16"/>
      <c r="H53" s="16"/>
      <c r="I53" s="16">
        <v>387</v>
      </c>
      <c r="J53" s="16"/>
      <c r="K53" s="146"/>
      <c r="L53" s="146"/>
      <c r="M53" s="230">
        <f>ROUND(E53*(1-8.18%),2)</f>
        <v>0</v>
      </c>
      <c r="N53" s="196"/>
      <c r="O53" s="196"/>
      <c r="P53" s="230">
        <f>ROUND(F53*(1-0.10257103%),2)</f>
        <v>2516159.5</v>
      </c>
      <c r="Q53" s="335"/>
      <c r="R53" s="335"/>
      <c r="S53" s="230">
        <f>ROUND(G53*(1-5%),2)</f>
        <v>0</v>
      </c>
      <c r="T53" s="363"/>
      <c r="U53" s="363"/>
      <c r="V53" s="230">
        <f>ROUND(H53*(1-0.0030707%),2)</f>
        <v>0</v>
      </c>
      <c r="W53" s="349"/>
      <c r="X53" s="349"/>
      <c r="Y53" s="230">
        <f>ROUND(I53*(1-5%),2)</f>
        <v>367.65</v>
      </c>
      <c r="Z53" s="208"/>
      <c r="AA53" s="208"/>
      <c r="AB53" s="230">
        <f>ROUND(J53*(1-1.31%),2)</f>
        <v>0</v>
      </c>
      <c r="AC53" s="508"/>
      <c r="AD53" s="508"/>
      <c r="AE53" s="539"/>
      <c r="AF53" s="539"/>
      <c r="AG53" s="467"/>
      <c r="AH53" s="467"/>
      <c r="AI53" s="8">
        <f>SUM(D53:J53)-SUM(K53:AH53)</f>
        <v>2602.8500000000931</v>
      </c>
    </row>
    <row r="54" spans="1:35" ht="13.5" thickBot="1" x14ac:dyDescent="0.25">
      <c r="A54" s="78"/>
      <c r="B54" s="79"/>
      <c r="C54" s="13" t="s">
        <v>122</v>
      </c>
      <c r="D54" s="26">
        <f>D52+D53</f>
        <v>0</v>
      </c>
      <c r="E54" s="26">
        <f t="shared" ref="E54:AH54" si="39">E52+E53</f>
        <v>0</v>
      </c>
      <c r="F54" s="26">
        <f t="shared" si="39"/>
        <v>2518743</v>
      </c>
      <c r="G54" s="26">
        <f t="shared" si="39"/>
        <v>0</v>
      </c>
      <c r="H54" s="26">
        <f t="shared" si="39"/>
        <v>0.94</v>
      </c>
      <c r="I54" s="26">
        <f t="shared" si="39"/>
        <v>387</v>
      </c>
      <c r="J54" s="26">
        <f t="shared" si="39"/>
        <v>0</v>
      </c>
      <c r="K54" s="149">
        <f t="shared" si="39"/>
        <v>0</v>
      </c>
      <c r="L54" s="149">
        <f t="shared" si="39"/>
        <v>0</v>
      </c>
      <c r="M54" s="249">
        <f t="shared" ref="M54" si="40">M52+M53</f>
        <v>0</v>
      </c>
      <c r="N54" s="199">
        <f t="shared" si="39"/>
        <v>0</v>
      </c>
      <c r="O54" s="199">
        <f t="shared" ref="O54:AA54" si="41">O52+O53</f>
        <v>0</v>
      </c>
      <c r="P54" s="249">
        <f t="shared" si="41"/>
        <v>2516159.5</v>
      </c>
      <c r="Q54" s="340">
        <f t="shared" si="41"/>
        <v>0</v>
      </c>
      <c r="R54" s="340">
        <f t="shared" si="41"/>
        <v>0</v>
      </c>
      <c r="S54" s="249">
        <f t="shared" si="41"/>
        <v>0</v>
      </c>
      <c r="T54" s="368">
        <f t="shared" si="41"/>
        <v>0</v>
      </c>
      <c r="U54" s="368">
        <f t="shared" si="41"/>
        <v>0</v>
      </c>
      <c r="V54" s="249">
        <f t="shared" si="41"/>
        <v>0.94</v>
      </c>
      <c r="W54" s="354">
        <f t="shared" si="41"/>
        <v>0</v>
      </c>
      <c r="X54" s="354">
        <f t="shared" si="41"/>
        <v>0</v>
      </c>
      <c r="Y54" s="249">
        <f t="shared" si="41"/>
        <v>367.65</v>
      </c>
      <c r="Z54" s="211">
        <f t="shared" si="41"/>
        <v>0</v>
      </c>
      <c r="AA54" s="211">
        <f t="shared" si="41"/>
        <v>0</v>
      </c>
      <c r="AB54" s="249">
        <f t="shared" si="39"/>
        <v>0</v>
      </c>
      <c r="AC54" s="513">
        <f t="shared" si="39"/>
        <v>0</v>
      </c>
      <c r="AD54" s="513">
        <f t="shared" si="39"/>
        <v>0</v>
      </c>
      <c r="AE54" s="544">
        <f t="shared" si="39"/>
        <v>0</v>
      </c>
      <c r="AF54" s="544">
        <f t="shared" si="39"/>
        <v>0</v>
      </c>
      <c r="AG54" s="472">
        <f t="shared" si="39"/>
        <v>0</v>
      </c>
      <c r="AH54" s="472">
        <f t="shared" si="39"/>
        <v>0</v>
      </c>
      <c r="AI54" s="27">
        <f t="shared" ref="AI54" si="42">AI52+AI53</f>
        <v>2602.8500000000931</v>
      </c>
    </row>
    <row r="55" spans="1:35" ht="13.5" thickBot="1" x14ac:dyDescent="0.25">
      <c r="A55" s="78"/>
      <c r="B55" s="79"/>
      <c r="C55" s="13" t="s">
        <v>14</v>
      </c>
      <c r="D55" s="14">
        <f>D49-D54</f>
        <v>852.54</v>
      </c>
      <c r="E55" s="14">
        <f t="shared" ref="E55:AH55" si="43">E49-E54</f>
        <v>0</v>
      </c>
      <c r="F55" s="14">
        <f t="shared" si="43"/>
        <v>1125611</v>
      </c>
      <c r="G55" s="14">
        <f t="shared" si="43"/>
        <v>344034</v>
      </c>
      <c r="H55" s="14">
        <f t="shared" si="43"/>
        <v>-0.86999999999999988</v>
      </c>
      <c r="I55" s="14">
        <f t="shared" si="43"/>
        <v>7764</v>
      </c>
      <c r="J55" s="14">
        <f t="shared" si="43"/>
        <v>0</v>
      </c>
      <c r="K55" s="145">
        <f t="shared" si="43"/>
        <v>0</v>
      </c>
      <c r="L55" s="145">
        <f t="shared" si="43"/>
        <v>0</v>
      </c>
      <c r="M55" s="245">
        <f t="shared" ref="M55" si="44">M49-M54</f>
        <v>0</v>
      </c>
      <c r="N55" s="195">
        <f t="shared" si="43"/>
        <v>0</v>
      </c>
      <c r="O55" s="195">
        <f t="shared" ref="O55:AA55" si="45">O49-O54</f>
        <v>0</v>
      </c>
      <c r="P55" s="245">
        <f t="shared" si="45"/>
        <v>1124456.4500000002</v>
      </c>
      <c r="Q55" s="336">
        <f t="shared" si="45"/>
        <v>0</v>
      </c>
      <c r="R55" s="336">
        <f t="shared" si="45"/>
        <v>0</v>
      </c>
      <c r="S55" s="245">
        <f t="shared" si="45"/>
        <v>326832.3</v>
      </c>
      <c r="T55" s="364">
        <f t="shared" si="45"/>
        <v>0</v>
      </c>
      <c r="U55" s="364">
        <f t="shared" si="45"/>
        <v>0</v>
      </c>
      <c r="V55" s="245">
        <f t="shared" si="45"/>
        <v>-0.86999999999999988</v>
      </c>
      <c r="W55" s="350">
        <f t="shared" si="45"/>
        <v>0</v>
      </c>
      <c r="X55" s="350">
        <f t="shared" si="45"/>
        <v>0</v>
      </c>
      <c r="Y55" s="245">
        <f t="shared" si="45"/>
        <v>7375.8</v>
      </c>
      <c r="Z55" s="207">
        <f t="shared" si="45"/>
        <v>0</v>
      </c>
      <c r="AA55" s="207">
        <f t="shared" si="45"/>
        <v>0</v>
      </c>
      <c r="AB55" s="245">
        <f t="shared" si="43"/>
        <v>0</v>
      </c>
      <c r="AC55" s="509">
        <f t="shared" si="43"/>
        <v>0</v>
      </c>
      <c r="AD55" s="509">
        <f t="shared" si="43"/>
        <v>0</v>
      </c>
      <c r="AE55" s="540">
        <f t="shared" si="43"/>
        <v>0</v>
      </c>
      <c r="AF55" s="540">
        <f t="shared" si="43"/>
        <v>0</v>
      </c>
      <c r="AG55" s="468">
        <f t="shared" si="43"/>
        <v>0</v>
      </c>
      <c r="AH55" s="468">
        <f t="shared" si="43"/>
        <v>0</v>
      </c>
      <c r="AI55" s="15">
        <f t="shared" ref="AI55" si="46">AI49-AI54</f>
        <v>19596.989999999583</v>
      </c>
    </row>
    <row r="56" spans="1:35" x14ac:dyDescent="0.2">
      <c r="A56" s="78"/>
      <c r="B56" s="79"/>
      <c r="C56" s="13" t="s">
        <v>15</v>
      </c>
      <c r="D56" s="28"/>
      <c r="E56" s="28"/>
      <c r="F56" s="28"/>
      <c r="G56" s="28"/>
      <c r="H56" s="28"/>
      <c r="I56" s="28"/>
      <c r="J56" s="28"/>
      <c r="K56" s="150"/>
      <c r="L56" s="150"/>
      <c r="M56" s="250"/>
      <c r="N56" s="200"/>
      <c r="O56" s="200"/>
      <c r="P56" s="250"/>
      <c r="Q56" s="341"/>
      <c r="R56" s="341"/>
      <c r="S56" s="250"/>
      <c r="T56" s="369"/>
      <c r="U56" s="369"/>
      <c r="V56" s="250"/>
      <c r="W56" s="355"/>
      <c r="X56" s="355"/>
      <c r="Y56" s="250"/>
      <c r="Z56" s="212"/>
      <c r="AA56" s="212"/>
      <c r="AB56" s="250"/>
      <c r="AC56" s="514"/>
      <c r="AD56" s="514"/>
      <c r="AE56" s="545"/>
      <c r="AF56" s="545"/>
      <c r="AG56" s="473"/>
      <c r="AH56" s="473"/>
      <c r="AI56" s="29"/>
    </row>
    <row r="57" spans="1:35" x14ac:dyDescent="0.2">
      <c r="A57" s="78">
        <v>22</v>
      </c>
      <c r="B57" s="79"/>
      <c r="C57" s="30" t="s">
        <v>16</v>
      </c>
      <c r="D57" s="16"/>
      <c r="E57" s="16"/>
      <c r="F57" s="16">
        <v>85433</v>
      </c>
      <c r="G57" s="16">
        <v>18024</v>
      </c>
      <c r="H57" s="16"/>
      <c r="I57" s="16"/>
      <c r="J57" s="16"/>
      <c r="K57" s="146"/>
      <c r="L57" s="146"/>
      <c r="M57" s="230">
        <f>ROUND(E57*(1-8.18%),2)</f>
        <v>0</v>
      </c>
      <c r="N57" s="196"/>
      <c r="O57" s="196"/>
      <c r="P57" s="230">
        <f>ROUND(F57*(1-0.10257103%),2)</f>
        <v>85345.37</v>
      </c>
      <c r="Q57" s="335"/>
      <c r="R57" s="335"/>
      <c r="S57" s="230">
        <f>ROUND(G57*(1-5%),2)</f>
        <v>17122.8</v>
      </c>
      <c r="T57" s="363"/>
      <c r="U57" s="363"/>
      <c r="V57" s="230">
        <f>ROUND(H57*(1-0.0030707%),2)</f>
        <v>0</v>
      </c>
      <c r="W57" s="349"/>
      <c r="X57" s="349"/>
      <c r="Y57" s="230">
        <f>ROUND(I57*(1-5%),2)</f>
        <v>0</v>
      </c>
      <c r="Z57" s="208"/>
      <c r="AA57" s="208"/>
      <c r="AB57" s="230">
        <f>ROUND(J57*(1-1.31%),2)</f>
        <v>0</v>
      </c>
      <c r="AC57" s="508"/>
      <c r="AD57" s="508"/>
      <c r="AE57" s="539"/>
      <c r="AF57" s="539"/>
      <c r="AG57" s="467"/>
      <c r="AH57" s="467"/>
      <c r="AI57" s="8">
        <f>SUM(D57:J57)-SUM(K57:AH57)</f>
        <v>988.83000000000175</v>
      </c>
    </row>
    <row r="58" spans="1:35" ht="13.5" thickBot="1" x14ac:dyDescent="0.25">
      <c r="A58" s="78">
        <v>23</v>
      </c>
      <c r="B58" s="79"/>
      <c r="C58" s="30" t="s">
        <v>17</v>
      </c>
      <c r="D58" s="16"/>
      <c r="E58" s="16"/>
      <c r="F58" s="16"/>
      <c r="G58" s="16">
        <v>364983</v>
      </c>
      <c r="H58" s="16"/>
      <c r="I58" s="16"/>
      <c r="J58" s="16"/>
      <c r="K58" s="146"/>
      <c r="L58" s="146"/>
      <c r="M58" s="230">
        <f>ROUND(E58*(1-8.18%),2)</f>
        <v>0</v>
      </c>
      <c r="N58" s="196"/>
      <c r="O58" s="196"/>
      <c r="P58" s="230">
        <f>ROUND(F58*(1-0.10257103%),2)</f>
        <v>0</v>
      </c>
      <c r="Q58" s="335"/>
      <c r="R58" s="335"/>
      <c r="S58" s="230">
        <f>ROUND(G58*(1-5%),2)</f>
        <v>346733.85</v>
      </c>
      <c r="T58" s="363"/>
      <c r="U58" s="363"/>
      <c r="V58" s="230">
        <f>ROUND(H58*(1-0.0030707%),2)</f>
        <v>0</v>
      </c>
      <c r="W58" s="349"/>
      <c r="X58" s="349"/>
      <c r="Y58" s="230">
        <f>ROUND(I58*(1-5%),2)</f>
        <v>0</v>
      </c>
      <c r="Z58" s="208"/>
      <c r="AA58" s="208"/>
      <c r="AB58" s="230">
        <f>ROUND(J58*(1-1.31%),2)</f>
        <v>0</v>
      </c>
      <c r="AC58" s="508"/>
      <c r="AD58" s="508"/>
      <c r="AE58" s="539"/>
      <c r="AF58" s="539"/>
      <c r="AG58" s="467"/>
      <c r="AH58" s="467"/>
      <c r="AI58" s="8">
        <f>SUM(D58:J58)-SUM(K58:AH58)</f>
        <v>18249.150000000023</v>
      </c>
    </row>
    <row r="59" spans="1:35" ht="13.5" thickBot="1" x14ac:dyDescent="0.25">
      <c r="A59" s="78"/>
      <c r="B59" s="79"/>
      <c r="C59" s="13" t="s">
        <v>18</v>
      </c>
      <c r="D59" s="14">
        <f>D57-D58</f>
        <v>0</v>
      </c>
      <c r="E59" s="14">
        <f t="shared" ref="E59:AI59" si="47">E57-E58</f>
        <v>0</v>
      </c>
      <c r="F59" s="14">
        <f t="shared" si="47"/>
        <v>85433</v>
      </c>
      <c r="G59" s="14">
        <f t="shared" si="47"/>
        <v>-346959</v>
      </c>
      <c r="H59" s="14">
        <f t="shared" si="47"/>
        <v>0</v>
      </c>
      <c r="I59" s="14">
        <f t="shared" si="47"/>
        <v>0</v>
      </c>
      <c r="J59" s="14">
        <f t="shared" si="47"/>
        <v>0</v>
      </c>
      <c r="K59" s="145">
        <f t="shared" si="47"/>
        <v>0</v>
      </c>
      <c r="L59" s="145">
        <f t="shared" si="47"/>
        <v>0</v>
      </c>
      <c r="M59" s="245">
        <f t="shared" ref="M59" si="48">M57-M58</f>
        <v>0</v>
      </c>
      <c r="N59" s="195">
        <f t="shared" si="47"/>
        <v>0</v>
      </c>
      <c r="O59" s="195">
        <f t="shared" si="47"/>
        <v>0</v>
      </c>
      <c r="P59" s="245">
        <f t="shared" ref="P59:Y59" si="49">P57-P58</f>
        <v>85345.37</v>
      </c>
      <c r="Q59" s="336">
        <f t="shared" si="49"/>
        <v>0</v>
      </c>
      <c r="R59" s="336">
        <f t="shared" si="49"/>
        <v>0</v>
      </c>
      <c r="S59" s="245">
        <f t="shared" si="49"/>
        <v>-329611.05</v>
      </c>
      <c r="T59" s="364">
        <f t="shared" si="49"/>
        <v>0</v>
      </c>
      <c r="U59" s="364">
        <f t="shared" si="49"/>
        <v>0</v>
      </c>
      <c r="V59" s="245">
        <f t="shared" si="49"/>
        <v>0</v>
      </c>
      <c r="W59" s="350">
        <f t="shared" si="49"/>
        <v>0</v>
      </c>
      <c r="X59" s="350">
        <f t="shared" si="49"/>
        <v>0</v>
      </c>
      <c r="Y59" s="245">
        <f t="shared" si="49"/>
        <v>0</v>
      </c>
      <c r="Z59" s="207">
        <f t="shared" si="47"/>
        <v>0</v>
      </c>
      <c r="AA59" s="207">
        <f t="shared" si="47"/>
        <v>0</v>
      </c>
      <c r="AB59" s="245">
        <f t="shared" si="47"/>
        <v>0</v>
      </c>
      <c r="AC59" s="509">
        <f t="shared" si="47"/>
        <v>0</v>
      </c>
      <c r="AD59" s="509">
        <f t="shared" si="47"/>
        <v>0</v>
      </c>
      <c r="AE59" s="540">
        <f t="shared" si="47"/>
        <v>0</v>
      </c>
      <c r="AF59" s="540">
        <f t="shared" si="47"/>
        <v>0</v>
      </c>
      <c r="AG59" s="468">
        <f t="shared" si="47"/>
        <v>0</v>
      </c>
      <c r="AH59" s="468">
        <f t="shared" si="47"/>
        <v>0</v>
      </c>
      <c r="AI59" s="15">
        <f t="shared" si="47"/>
        <v>-17260.320000000022</v>
      </c>
    </row>
    <row r="60" spans="1:35" x14ac:dyDescent="0.2">
      <c r="A60" s="78"/>
      <c r="B60" s="79"/>
      <c r="C60" s="6" t="s">
        <v>166</v>
      </c>
      <c r="D60" s="16"/>
      <c r="E60" s="16"/>
      <c r="F60" s="16"/>
      <c r="G60" s="16"/>
      <c r="H60" s="16"/>
      <c r="I60" s="16"/>
      <c r="J60" s="16"/>
      <c r="K60" s="146"/>
      <c r="L60" s="146"/>
      <c r="M60" s="246"/>
      <c r="N60" s="196"/>
      <c r="O60" s="196"/>
      <c r="P60" s="246"/>
      <c r="Q60" s="337"/>
      <c r="R60" s="337"/>
      <c r="S60" s="246"/>
      <c r="T60" s="365"/>
      <c r="U60" s="365"/>
      <c r="V60" s="246"/>
      <c r="W60" s="351"/>
      <c r="X60" s="351"/>
      <c r="Y60" s="246"/>
      <c r="Z60" s="208"/>
      <c r="AA60" s="208"/>
      <c r="AB60" s="246"/>
      <c r="AC60" s="510"/>
      <c r="AD60" s="510"/>
      <c r="AE60" s="541"/>
      <c r="AF60" s="541"/>
      <c r="AG60" s="469"/>
      <c r="AH60" s="469"/>
      <c r="AI60" s="17"/>
    </row>
    <row r="61" spans="1:35" x14ac:dyDescent="0.2">
      <c r="A61" s="78">
        <v>24</v>
      </c>
      <c r="B61" s="79"/>
      <c r="C61" s="31" t="s">
        <v>124</v>
      </c>
      <c r="D61" s="16"/>
      <c r="E61" s="16"/>
      <c r="F61" s="16"/>
      <c r="G61" s="16"/>
      <c r="H61" s="16"/>
      <c r="I61" s="16"/>
      <c r="J61" s="16"/>
      <c r="K61" s="146"/>
      <c r="L61" s="146"/>
      <c r="M61" s="246"/>
      <c r="N61" s="196"/>
      <c r="O61" s="196"/>
      <c r="P61" s="246"/>
      <c r="Q61" s="337"/>
      <c r="R61" s="337"/>
      <c r="S61" s="246"/>
      <c r="T61" s="365"/>
      <c r="U61" s="365"/>
      <c r="V61" s="246"/>
      <c r="W61" s="351"/>
      <c r="X61" s="351"/>
      <c r="Y61" s="246"/>
      <c r="Z61" s="208"/>
      <c r="AA61" s="208"/>
      <c r="AB61" s="246"/>
      <c r="AC61" s="510"/>
      <c r="AD61" s="510"/>
      <c r="AE61" s="541"/>
      <c r="AF61" s="541"/>
      <c r="AG61" s="469"/>
      <c r="AH61" s="469"/>
      <c r="AI61" s="17"/>
    </row>
    <row r="62" spans="1:35" x14ac:dyDescent="0.2">
      <c r="A62" s="78"/>
      <c r="B62" s="79" t="s">
        <v>29</v>
      </c>
      <c r="C62" s="4" t="s">
        <v>216</v>
      </c>
      <c r="D62" s="9"/>
      <c r="E62" s="9"/>
      <c r="F62" s="9"/>
      <c r="G62" s="9"/>
      <c r="H62" s="9"/>
      <c r="I62" s="9"/>
      <c r="J62" s="9"/>
      <c r="K62" s="144"/>
      <c r="L62" s="144"/>
      <c r="M62" s="230">
        <f>ROUND(E62*(1-8.18%),2)</f>
        <v>0</v>
      </c>
      <c r="N62" s="178"/>
      <c r="O62" s="178"/>
      <c r="P62" s="230">
        <f>ROUND(F62*(1-0.10257103%),2)</f>
        <v>0</v>
      </c>
      <c r="Q62" s="335"/>
      <c r="R62" s="335"/>
      <c r="S62" s="230">
        <f>ROUND(G62*(1-5%),2)</f>
        <v>0</v>
      </c>
      <c r="T62" s="363"/>
      <c r="U62" s="363"/>
      <c r="V62" s="230">
        <f>ROUND(H62*(1-0.0030707%),2)</f>
        <v>0</v>
      </c>
      <c r="W62" s="349"/>
      <c r="X62" s="349"/>
      <c r="Y62" s="230">
        <f>ROUND(I62*(1-5%),2)</f>
        <v>0</v>
      </c>
      <c r="Z62" s="172"/>
      <c r="AA62" s="172"/>
      <c r="AB62" s="230">
        <f>ROUND(J62*(1-1.31%),2)</f>
        <v>0</v>
      </c>
      <c r="AC62" s="508"/>
      <c r="AD62" s="508"/>
      <c r="AE62" s="539"/>
      <c r="AF62" s="539"/>
      <c r="AG62" s="467"/>
      <c r="AH62" s="467"/>
      <c r="AI62" s="8">
        <f>SUM(D62:J62)-SUM(K62:AH62)</f>
        <v>0</v>
      </c>
    </row>
    <row r="63" spans="1:35" x14ac:dyDescent="0.2">
      <c r="A63" s="78"/>
      <c r="B63" s="79" t="s">
        <v>30</v>
      </c>
      <c r="C63" s="32" t="s">
        <v>123</v>
      </c>
      <c r="D63" s="16">
        <v>261600.13</v>
      </c>
      <c r="E63" s="16"/>
      <c r="F63" s="16"/>
      <c r="G63" s="16"/>
      <c r="H63" s="16"/>
      <c r="I63" s="16"/>
      <c r="J63" s="16"/>
      <c r="K63" s="146"/>
      <c r="L63" s="146"/>
      <c r="M63" s="230">
        <f>ROUND(E63*(1-8.18%),2)</f>
        <v>0</v>
      </c>
      <c r="N63" s="196"/>
      <c r="O63" s="196"/>
      <c r="P63" s="230">
        <f>ROUND(F63*(1-0.10257103%),2)</f>
        <v>0</v>
      </c>
      <c r="Q63" s="335"/>
      <c r="R63" s="335"/>
      <c r="S63" s="230">
        <f>ROUND(G63*(1-5%),2)</f>
        <v>0</v>
      </c>
      <c r="T63" s="363"/>
      <c r="U63" s="363"/>
      <c r="V63" s="230">
        <f>ROUND(H63*(1-0.0030707%),2)</f>
        <v>0</v>
      </c>
      <c r="W63" s="349"/>
      <c r="X63" s="349"/>
      <c r="Y63" s="230">
        <f>ROUND(I63*(1-5%),2)</f>
        <v>0</v>
      </c>
      <c r="Z63" s="208"/>
      <c r="AA63" s="208"/>
      <c r="AB63" s="230">
        <f>ROUND(J63*(1-1.31%),2)</f>
        <v>0</v>
      </c>
      <c r="AC63" s="508"/>
      <c r="AD63" s="508"/>
      <c r="AE63" s="539"/>
      <c r="AF63" s="539"/>
      <c r="AG63" s="467"/>
      <c r="AH63" s="467"/>
      <c r="AI63" s="8">
        <f>SUM(D63:J63)-SUM(K63:AH63)</f>
        <v>261600.13</v>
      </c>
    </row>
    <row r="64" spans="1:35" x14ac:dyDescent="0.2">
      <c r="A64" s="78" t="s">
        <v>0</v>
      </c>
      <c r="B64" s="79" t="s">
        <v>31</v>
      </c>
      <c r="C64" s="32" t="s">
        <v>68</v>
      </c>
      <c r="D64" s="16">
        <v>3881550.17</v>
      </c>
      <c r="E64" s="16"/>
      <c r="F64" s="16"/>
      <c r="G64" s="16"/>
      <c r="H64" s="16">
        <v>310988.32</v>
      </c>
      <c r="I64" s="16"/>
      <c r="J64" s="16"/>
      <c r="K64" s="146"/>
      <c r="L64" s="146"/>
      <c r="M64" s="230">
        <f>ROUND(E64*(1-8.18%),2)</f>
        <v>0</v>
      </c>
      <c r="N64" s="196"/>
      <c r="O64" s="196"/>
      <c r="P64" s="230">
        <f>ROUND(F64*(1-0.10257103%),2)</f>
        <v>0</v>
      </c>
      <c r="Q64" s="335"/>
      <c r="R64" s="335"/>
      <c r="S64" s="230">
        <f>ROUND(G64*(1-5%),2)</f>
        <v>0</v>
      </c>
      <c r="T64" s="363"/>
      <c r="U64" s="363"/>
      <c r="V64" s="230">
        <f>ROUND(H64*(1-0.0030707%),2)</f>
        <v>310978.77</v>
      </c>
      <c r="W64" s="349"/>
      <c r="X64" s="349"/>
      <c r="Y64" s="230">
        <f>ROUND(I64*(1-5%),2)</f>
        <v>0</v>
      </c>
      <c r="Z64" s="208"/>
      <c r="AA64" s="208"/>
      <c r="AB64" s="230">
        <f>ROUND(J64*(1-1.31%),2)</f>
        <v>0</v>
      </c>
      <c r="AC64" s="508"/>
      <c r="AD64" s="508"/>
      <c r="AE64" s="539"/>
      <c r="AF64" s="539"/>
      <c r="AG64" s="467"/>
      <c r="AH64" s="467"/>
      <c r="AI64" s="8">
        <f>SUM(D64:J64)-SUM(K64:AH64)</f>
        <v>3881559.7199999997</v>
      </c>
    </row>
    <row r="65" spans="1:35" x14ac:dyDescent="0.2">
      <c r="A65" s="78" t="s">
        <v>0</v>
      </c>
      <c r="B65" s="79" t="s">
        <v>32</v>
      </c>
      <c r="C65" s="10" t="s">
        <v>19</v>
      </c>
      <c r="D65" s="16"/>
      <c r="E65" s="16"/>
      <c r="F65" s="16"/>
      <c r="G65" s="16"/>
      <c r="H65" s="16"/>
      <c r="I65" s="16"/>
      <c r="J65" s="16"/>
      <c r="K65" s="146"/>
      <c r="L65" s="146"/>
      <c r="M65" s="230">
        <f>ROUND(E65*(1-8.18%),2)</f>
        <v>0</v>
      </c>
      <c r="N65" s="196"/>
      <c r="O65" s="196"/>
      <c r="P65" s="230">
        <f>ROUND(F65*(1-0.10257103%),2)</f>
        <v>0</v>
      </c>
      <c r="Q65" s="335"/>
      <c r="R65" s="335"/>
      <c r="S65" s="230">
        <f>ROUND(G65*(1-5%),2)</f>
        <v>0</v>
      </c>
      <c r="T65" s="363"/>
      <c r="U65" s="363"/>
      <c r="V65" s="230">
        <f>ROUND(H65*(1-0.0030707%),2)</f>
        <v>0</v>
      </c>
      <c r="W65" s="349"/>
      <c r="X65" s="349"/>
      <c r="Y65" s="230">
        <f>ROUND(I65*(1-5%),2)</f>
        <v>0</v>
      </c>
      <c r="Z65" s="208"/>
      <c r="AA65" s="208"/>
      <c r="AB65" s="230">
        <f>ROUND(J65*(1-1.31%),2)</f>
        <v>0</v>
      </c>
      <c r="AC65" s="508"/>
      <c r="AD65" s="508"/>
      <c r="AE65" s="539"/>
      <c r="AF65" s="539"/>
      <c r="AG65" s="467"/>
      <c r="AH65" s="467"/>
      <c r="AI65" s="8">
        <f>SUM(D65:J65)-SUM(K65:AH65)</f>
        <v>0</v>
      </c>
    </row>
    <row r="66" spans="1:35" x14ac:dyDescent="0.2">
      <c r="A66" s="78"/>
      <c r="B66" s="79" t="s">
        <v>33</v>
      </c>
      <c r="C66" s="10" t="s">
        <v>98</v>
      </c>
      <c r="D66" s="16"/>
      <c r="E66" s="16"/>
      <c r="F66" s="16"/>
      <c r="G66" s="16"/>
      <c r="H66" s="16"/>
      <c r="I66" s="16"/>
      <c r="J66" s="16"/>
      <c r="K66" s="146"/>
      <c r="L66" s="146"/>
      <c r="M66" s="230">
        <f>ROUND(E66*(1-8.18%),2)</f>
        <v>0</v>
      </c>
      <c r="N66" s="196"/>
      <c r="O66" s="196"/>
      <c r="P66" s="230">
        <f>ROUND(F66*(1-0.10257103%),2)</f>
        <v>0</v>
      </c>
      <c r="Q66" s="335"/>
      <c r="R66" s="335"/>
      <c r="S66" s="230">
        <f>ROUND(G66*(1-5%),2)</f>
        <v>0</v>
      </c>
      <c r="T66" s="363"/>
      <c r="U66" s="363"/>
      <c r="V66" s="230">
        <f>ROUND(H66*(1-0.0030707%),2)</f>
        <v>0</v>
      </c>
      <c r="W66" s="349"/>
      <c r="X66" s="349"/>
      <c r="Y66" s="230">
        <f>ROUND(I66*(1-5%),2)</f>
        <v>0</v>
      </c>
      <c r="Z66" s="208"/>
      <c r="AA66" s="208"/>
      <c r="AB66" s="230">
        <f>ROUND(J66*(1-1.31%),2)</f>
        <v>0</v>
      </c>
      <c r="AC66" s="508"/>
      <c r="AD66" s="508"/>
      <c r="AE66" s="539"/>
      <c r="AF66" s="539"/>
      <c r="AG66" s="467"/>
      <c r="AH66" s="467"/>
      <c r="AI66" s="8">
        <f>SUM(D66:J66)-SUM(K66:AH66)</f>
        <v>0</v>
      </c>
    </row>
    <row r="67" spans="1:35" x14ac:dyDescent="0.2">
      <c r="A67" s="78"/>
      <c r="B67" s="79"/>
      <c r="C67" s="33" t="s">
        <v>38</v>
      </c>
      <c r="D67" s="34">
        <f>SUM(D62:D66)</f>
        <v>4143150.3</v>
      </c>
      <c r="E67" s="34">
        <f t="shared" ref="E67:AI67" si="50">SUM(E62:E66)</f>
        <v>0</v>
      </c>
      <c r="F67" s="34">
        <f t="shared" si="50"/>
        <v>0</v>
      </c>
      <c r="G67" s="34">
        <f t="shared" si="50"/>
        <v>0</v>
      </c>
      <c r="H67" s="34">
        <f t="shared" si="50"/>
        <v>310988.32</v>
      </c>
      <c r="I67" s="34">
        <f t="shared" si="50"/>
        <v>0</v>
      </c>
      <c r="J67" s="34">
        <f t="shared" si="50"/>
        <v>0</v>
      </c>
      <c r="K67" s="151">
        <f t="shared" si="50"/>
        <v>0</v>
      </c>
      <c r="L67" s="151">
        <f t="shared" si="50"/>
        <v>0</v>
      </c>
      <c r="M67" s="251">
        <f t="shared" ref="M67" si="51">SUM(M62:M66)</f>
        <v>0</v>
      </c>
      <c r="N67" s="201">
        <f t="shared" si="50"/>
        <v>0</v>
      </c>
      <c r="O67" s="201">
        <f t="shared" si="50"/>
        <v>0</v>
      </c>
      <c r="P67" s="251">
        <f t="shared" ref="P67:Y67" si="52">SUM(P62:P66)</f>
        <v>0</v>
      </c>
      <c r="Q67" s="342">
        <f t="shared" si="52"/>
        <v>0</v>
      </c>
      <c r="R67" s="342">
        <f t="shared" si="52"/>
        <v>0</v>
      </c>
      <c r="S67" s="251">
        <f t="shared" si="52"/>
        <v>0</v>
      </c>
      <c r="T67" s="370">
        <f t="shared" si="52"/>
        <v>0</v>
      </c>
      <c r="U67" s="370">
        <f t="shared" si="52"/>
        <v>0</v>
      </c>
      <c r="V67" s="251">
        <f t="shared" si="52"/>
        <v>310978.77</v>
      </c>
      <c r="W67" s="356">
        <f t="shared" si="52"/>
        <v>0</v>
      </c>
      <c r="X67" s="356">
        <f t="shared" si="52"/>
        <v>0</v>
      </c>
      <c r="Y67" s="251">
        <f t="shared" si="52"/>
        <v>0</v>
      </c>
      <c r="Z67" s="213">
        <f t="shared" si="50"/>
        <v>0</v>
      </c>
      <c r="AA67" s="213">
        <f t="shared" si="50"/>
        <v>0</v>
      </c>
      <c r="AB67" s="251">
        <f t="shared" si="50"/>
        <v>0</v>
      </c>
      <c r="AC67" s="515">
        <f t="shared" si="50"/>
        <v>0</v>
      </c>
      <c r="AD67" s="515">
        <f t="shared" si="50"/>
        <v>0</v>
      </c>
      <c r="AE67" s="546">
        <f t="shared" si="50"/>
        <v>0</v>
      </c>
      <c r="AF67" s="546">
        <f t="shared" si="50"/>
        <v>0</v>
      </c>
      <c r="AG67" s="474">
        <f t="shared" si="50"/>
        <v>0</v>
      </c>
      <c r="AH67" s="474">
        <f t="shared" si="50"/>
        <v>0</v>
      </c>
      <c r="AI67" s="35">
        <f t="shared" si="50"/>
        <v>4143159.8499999996</v>
      </c>
    </row>
    <row r="68" spans="1:35" x14ac:dyDescent="0.2">
      <c r="A68" s="78">
        <v>25</v>
      </c>
      <c r="B68" s="79"/>
      <c r="C68" s="31" t="s">
        <v>125</v>
      </c>
      <c r="D68" s="16"/>
      <c r="E68" s="16"/>
      <c r="F68" s="16"/>
      <c r="G68" s="16"/>
      <c r="H68" s="16"/>
      <c r="I68" s="16"/>
      <c r="J68" s="16"/>
      <c r="K68" s="146"/>
      <c r="L68" s="146"/>
      <c r="M68" s="246"/>
      <c r="N68" s="196"/>
      <c r="O68" s="196"/>
      <c r="P68" s="246"/>
      <c r="Q68" s="337"/>
      <c r="R68" s="337"/>
      <c r="S68" s="246"/>
      <c r="T68" s="365"/>
      <c r="U68" s="365"/>
      <c r="V68" s="246"/>
      <c r="W68" s="351"/>
      <c r="X68" s="351"/>
      <c r="Y68" s="246"/>
      <c r="Z68" s="208"/>
      <c r="AA68" s="208"/>
      <c r="AB68" s="246"/>
      <c r="AC68" s="510"/>
      <c r="AD68" s="510"/>
      <c r="AE68" s="541"/>
      <c r="AF68" s="541"/>
      <c r="AG68" s="469"/>
      <c r="AH68" s="469"/>
      <c r="AI68" s="17"/>
    </row>
    <row r="69" spans="1:35" x14ac:dyDescent="0.2">
      <c r="A69" s="78"/>
      <c r="B69" s="79" t="s">
        <v>29</v>
      </c>
      <c r="C69" s="32" t="s">
        <v>126</v>
      </c>
      <c r="D69" s="16"/>
      <c r="E69" s="16"/>
      <c r="F69" s="16"/>
      <c r="G69" s="16"/>
      <c r="H69" s="16"/>
      <c r="I69" s="16"/>
      <c r="J69" s="16"/>
      <c r="K69" s="146"/>
      <c r="L69" s="146"/>
      <c r="M69" s="230"/>
      <c r="N69" s="196"/>
      <c r="O69" s="196"/>
      <c r="P69" s="230"/>
      <c r="Q69" s="335"/>
      <c r="R69" s="335"/>
      <c r="S69" s="230"/>
      <c r="T69" s="363"/>
      <c r="U69" s="363"/>
      <c r="V69" s="230"/>
      <c r="W69" s="349"/>
      <c r="X69" s="349"/>
      <c r="Y69" s="230"/>
      <c r="Z69" s="208"/>
      <c r="AA69" s="208"/>
      <c r="AB69" s="230"/>
      <c r="AC69" s="508"/>
      <c r="AD69" s="508"/>
      <c r="AE69" s="539"/>
      <c r="AF69" s="539"/>
      <c r="AG69" s="467"/>
      <c r="AH69" s="467"/>
      <c r="AI69" s="8">
        <f>SUM(D69:J69)-SUM(K69:AH69)</f>
        <v>0</v>
      </c>
    </row>
    <row r="70" spans="1:35" x14ac:dyDescent="0.2">
      <c r="A70" s="78" t="s">
        <v>0</v>
      </c>
      <c r="B70" s="79" t="s">
        <v>30</v>
      </c>
      <c r="C70" s="32" t="s">
        <v>127</v>
      </c>
      <c r="D70" s="16">
        <v>14706.85</v>
      </c>
      <c r="E70" s="16"/>
      <c r="F70" s="16"/>
      <c r="G70" s="16"/>
      <c r="H70" s="16">
        <v>6874.31</v>
      </c>
      <c r="I70" s="16"/>
      <c r="J70" s="16"/>
      <c r="K70" s="146"/>
      <c r="L70" s="146"/>
      <c r="M70" s="230">
        <f>ROUND(E70*(1-8.18%),2)</f>
        <v>0</v>
      </c>
      <c r="N70" s="196"/>
      <c r="O70" s="196"/>
      <c r="P70" s="230">
        <f>ROUND(F70*(1-0.10257103%),2)</f>
        <v>0</v>
      </c>
      <c r="Q70" s="335"/>
      <c r="R70" s="335"/>
      <c r="S70" s="230">
        <f>ROUND(G70*(1-5%),2)</f>
        <v>0</v>
      </c>
      <c r="T70" s="363"/>
      <c r="U70" s="363"/>
      <c r="V70" s="230">
        <f>ROUND(H70*(1-0.0030707%),2)</f>
        <v>6874.1</v>
      </c>
      <c r="W70" s="349"/>
      <c r="X70" s="349"/>
      <c r="Y70" s="230">
        <f>ROUND(I70*(1-5%),2)</f>
        <v>0</v>
      </c>
      <c r="Z70" s="208"/>
      <c r="AA70" s="208"/>
      <c r="AB70" s="230">
        <f>ROUND(J70*(1-1.31%),2)</f>
        <v>0</v>
      </c>
      <c r="AC70" s="508"/>
      <c r="AD70" s="508"/>
      <c r="AE70" s="539"/>
      <c r="AF70" s="539"/>
      <c r="AG70" s="467"/>
      <c r="AH70" s="467"/>
      <c r="AI70" s="8">
        <f>SUM(D70:J70)-SUM(K70:AH70)</f>
        <v>14707.06</v>
      </c>
    </row>
    <row r="71" spans="1:35" x14ac:dyDescent="0.2">
      <c r="A71" s="78" t="s">
        <v>0</v>
      </c>
      <c r="B71" s="79" t="s">
        <v>31</v>
      </c>
      <c r="C71" s="10" t="s">
        <v>20</v>
      </c>
      <c r="D71" s="16"/>
      <c r="E71" s="16"/>
      <c r="F71" s="16"/>
      <c r="G71" s="16"/>
      <c r="H71" s="16"/>
      <c r="I71" s="16"/>
      <c r="J71" s="16"/>
      <c r="K71" s="146"/>
      <c r="L71" s="146"/>
      <c r="M71" s="230">
        <f>ROUND(E71*(1-8.18%),2)</f>
        <v>0</v>
      </c>
      <c r="N71" s="196"/>
      <c r="O71" s="196"/>
      <c r="P71" s="230">
        <f>ROUND(F71*(1-0.10257103%),2)</f>
        <v>0</v>
      </c>
      <c r="Q71" s="335"/>
      <c r="R71" s="335"/>
      <c r="S71" s="230">
        <f>ROUND(G71*(1-5%),2)</f>
        <v>0</v>
      </c>
      <c r="T71" s="363"/>
      <c r="U71" s="363"/>
      <c r="V71" s="230">
        <f>ROUND(H71*(1-0.0030707%),2)</f>
        <v>0</v>
      </c>
      <c r="W71" s="349"/>
      <c r="X71" s="349"/>
      <c r="Y71" s="230">
        <f>ROUND(I71*(1-5%),2)</f>
        <v>0</v>
      </c>
      <c r="Z71" s="208"/>
      <c r="AA71" s="208"/>
      <c r="AB71" s="230">
        <f>ROUND(J71*(1-1.31%),2)</f>
        <v>0</v>
      </c>
      <c r="AC71" s="508"/>
      <c r="AD71" s="508"/>
      <c r="AE71" s="539"/>
      <c r="AF71" s="539"/>
      <c r="AG71" s="467"/>
      <c r="AH71" s="467"/>
      <c r="AI71" s="8">
        <f>SUM(D71:J71)-SUM(K71:AH71)</f>
        <v>0</v>
      </c>
    </row>
    <row r="72" spans="1:35" x14ac:dyDescent="0.2">
      <c r="A72" s="78" t="s">
        <v>0</v>
      </c>
      <c r="B72" s="79" t="s">
        <v>32</v>
      </c>
      <c r="C72" s="10" t="s">
        <v>21</v>
      </c>
      <c r="D72" s="16"/>
      <c r="E72" s="16"/>
      <c r="F72" s="16"/>
      <c r="G72" s="16"/>
      <c r="H72" s="16"/>
      <c r="I72" s="16"/>
      <c r="J72" s="16"/>
      <c r="K72" s="146"/>
      <c r="L72" s="146"/>
      <c r="M72" s="230">
        <f>ROUND(E72*(1-8.18%),2)</f>
        <v>0</v>
      </c>
      <c r="N72" s="196"/>
      <c r="O72" s="196"/>
      <c r="P72" s="230">
        <f>ROUND(F72*(1-0.10257103%),2)</f>
        <v>0</v>
      </c>
      <c r="Q72" s="335"/>
      <c r="R72" s="335"/>
      <c r="S72" s="230">
        <f>ROUND(G72*(1-5%),2)</f>
        <v>0</v>
      </c>
      <c r="T72" s="363"/>
      <c r="U72" s="363"/>
      <c r="V72" s="230">
        <f>ROUND(H72*(1-0.0030707%),2)</f>
        <v>0</v>
      </c>
      <c r="W72" s="349"/>
      <c r="X72" s="349"/>
      <c r="Y72" s="230">
        <f>ROUND(I72*(1-5%),2)</f>
        <v>0</v>
      </c>
      <c r="Z72" s="208"/>
      <c r="AA72" s="208"/>
      <c r="AB72" s="230">
        <f>ROUND(J72*(1-1.31%),2)</f>
        <v>0</v>
      </c>
      <c r="AC72" s="508"/>
      <c r="AD72" s="508"/>
      <c r="AE72" s="539"/>
      <c r="AF72" s="539"/>
      <c r="AG72" s="467"/>
      <c r="AH72" s="467"/>
      <c r="AI72" s="8">
        <f>SUM(D72:J72)-SUM(K72:AH72)</f>
        <v>0</v>
      </c>
    </row>
    <row r="73" spans="1:35" x14ac:dyDescent="0.2">
      <c r="A73" s="78"/>
      <c r="B73" s="79"/>
      <c r="C73" s="33" t="s">
        <v>39</v>
      </c>
      <c r="D73" s="23">
        <f>SUM(D69:D72)</f>
        <v>14706.85</v>
      </c>
      <c r="E73" s="23">
        <f t="shared" ref="E73:AI73" si="53">SUM(E69:E72)</f>
        <v>0</v>
      </c>
      <c r="F73" s="23">
        <f t="shared" si="53"/>
        <v>0</v>
      </c>
      <c r="G73" s="23">
        <f t="shared" si="53"/>
        <v>0</v>
      </c>
      <c r="H73" s="23">
        <f t="shared" si="53"/>
        <v>6874.31</v>
      </c>
      <c r="I73" s="23">
        <f t="shared" si="53"/>
        <v>0</v>
      </c>
      <c r="J73" s="23">
        <f t="shared" si="53"/>
        <v>0</v>
      </c>
      <c r="K73" s="148">
        <f t="shared" si="53"/>
        <v>0</v>
      </c>
      <c r="L73" s="148">
        <f t="shared" si="53"/>
        <v>0</v>
      </c>
      <c r="M73" s="248">
        <f t="shared" ref="M73" si="54">SUM(M69:M72)</f>
        <v>0</v>
      </c>
      <c r="N73" s="198">
        <f t="shared" si="53"/>
        <v>0</v>
      </c>
      <c r="O73" s="198">
        <f t="shared" ref="O73:AA73" si="55">SUM(O69:O72)</f>
        <v>0</v>
      </c>
      <c r="P73" s="248">
        <f t="shared" si="55"/>
        <v>0</v>
      </c>
      <c r="Q73" s="339">
        <f t="shared" si="55"/>
        <v>0</v>
      </c>
      <c r="R73" s="339">
        <f t="shared" si="55"/>
        <v>0</v>
      </c>
      <c r="S73" s="248">
        <f t="shared" si="55"/>
        <v>0</v>
      </c>
      <c r="T73" s="367">
        <f t="shared" si="55"/>
        <v>0</v>
      </c>
      <c r="U73" s="367">
        <f t="shared" si="55"/>
        <v>0</v>
      </c>
      <c r="V73" s="248">
        <f t="shared" si="55"/>
        <v>6874.1</v>
      </c>
      <c r="W73" s="353">
        <f t="shared" si="55"/>
        <v>0</v>
      </c>
      <c r="X73" s="353">
        <f t="shared" si="55"/>
        <v>0</v>
      </c>
      <c r="Y73" s="248">
        <f t="shared" si="55"/>
        <v>0</v>
      </c>
      <c r="Z73" s="210">
        <f t="shared" si="55"/>
        <v>0</v>
      </c>
      <c r="AA73" s="210">
        <f t="shared" si="55"/>
        <v>0</v>
      </c>
      <c r="AB73" s="248">
        <f t="shared" si="53"/>
        <v>0</v>
      </c>
      <c r="AC73" s="512">
        <f t="shared" si="53"/>
        <v>0</v>
      </c>
      <c r="AD73" s="512">
        <f t="shared" si="53"/>
        <v>0</v>
      </c>
      <c r="AE73" s="543">
        <f t="shared" si="53"/>
        <v>0</v>
      </c>
      <c r="AF73" s="543">
        <f t="shared" si="53"/>
        <v>0</v>
      </c>
      <c r="AG73" s="471">
        <f t="shared" si="53"/>
        <v>0</v>
      </c>
      <c r="AH73" s="471">
        <f t="shared" si="53"/>
        <v>0</v>
      </c>
      <c r="AI73" s="24">
        <f t="shared" si="53"/>
        <v>14707.06</v>
      </c>
    </row>
    <row r="74" spans="1:35" ht="13.5" thickBot="1" x14ac:dyDescent="0.25">
      <c r="A74" s="78"/>
      <c r="B74" s="79"/>
      <c r="C74" s="13" t="s">
        <v>40</v>
      </c>
      <c r="D74" s="503">
        <f>D67-D73</f>
        <v>4128443.4499999997</v>
      </c>
      <c r="E74" s="503">
        <f t="shared" ref="E74:AI74" si="56">E67-E73</f>
        <v>0</v>
      </c>
      <c r="F74" s="503">
        <f t="shared" si="56"/>
        <v>0</v>
      </c>
      <c r="G74" s="503">
        <f t="shared" si="56"/>
        <v>0</v>
      </c>
      <c r="H74" s="503">
        <f t="shared" si="56"/>
        <v>304114.01</v>
      </c>
      <c r="I74" s="503">
        <f t="shared" si="56"/>
        <v>0</v>
      </c>
      <c r="J74" s="503">
        <f t="shared" si="56"/>
        <v>0</v>
      </c>
      <c r="K74" s="152">
        <f t="shared" si="56"/>
        <v>0</v>
      </c>
      <c r="L74" s="152">
        <f t="shared" si="56"/>
        <v>0</v>
      </c>
      <c r="M74" s="252">
        <f t="shared" ref="M74" si="57">M67-M73</f>
        <v>0</v>
      </c>
      <c r="N74" s="202">
        <f t="shared" si="56"/>
        <v>0</v>
      </c>
      <c r="O74" s="202">
        <f t="shared" ref="O74:AA74" si="58">O67-O73</f>
        <v>0</v>
      </c>
      <c r="P74" s="252">
        <f t="shared" si="58"/>
        <v>0</v>
      </c>
      <c r="Q74" s="343">
        <f t="shared" si="58"/>
        <v>0</v>
      </c>
      <c r="R74" s="343">
        <f t="shared" si="58"/>
        <v>0</v>
      </c>
      <c r="S74" s="252">
        <f t="shared" si="58"/>
        <v>0</v>
      </c>
      <c r="T74" s="371">
        <f t="shared" si="58"/>
        <v>0</v>
      </c>
      <c r="U74" s="371">
        <f t="shared" si="58"/>
        <v>0</v>
      </c>
      <c r="V74" s="252">
        <f t="shared" si="58"/>
        <v>304104.67000000004</v>
      </c>
      <c r="W74" s="357">
        <f t="shared" si="58"/>
        <v>0</v>
      </c>
      <c r="X74" s="357">
        <f t="shared" si="58"/>
        <v>0</v>
      </c>
      <c r="Y74" s="252">
        <f t="shared" si="58"/>
        <v>0</v>
      </c>
      <c r="Z74" s="214">
        <f t="shared" si="58"/>
        <v>0</v>
      </c>
      <c r="AA74" s="214">
        <f t="shared" si="58"/>
        <v>0</v>
      </c>
      <c r="AB74" s="252">
        <f t="shared" si="56"/>
        <v>0</v>
      </c>
      <c r="AC74" s="516">
        <f t="shared" si="56"/>
        <v>0</v>
      </c>
      <c r="AD74" s="516">
        <f t="shared" si="56"/>
        <v>0</v>
      </c>
      <c r="AE74" s="547">
        <f t="shared" si="56"/>
        <v>0</v>
      </c>
      <c r="AF74" s="547">
        <f t="shared" si="56"/>
        <v>0</v>
      </c>
      <c r="AG74" s="475">
        <f t="shared" si="56"/>
        <v>0</v>
      </c>
      <c r="AH74" s="475">
        <f t="shared" si="56"/>
        <v>0</v>
      </c>
      <c r="AI74" s="37">
        <f t="shared" si="56"/>
        <v>4128452.7899999996</v>
      </c>
    </row>
    <row r="75" spans="1:35" ht="13.5" thickBot="1" x14ac:dyDescent="0.25">
      <c r="A75" s="78"/>
      <c r="B75" s="79"/>
      <c r="C75" s="13" t="s">
        <v>191</v>
      </c>
      <c r="D75" s="38">
        <f>D40+D55+D59+D74</f>
        <v>6410403.870000001</v>
      </c>
      <c r="E75" s="14">
        <f t="shared" ref="E75:N75" si="59">E40+E55+E59+E74</f>
        <v>0</v>
      </c>
      <c r="F75" s="14">
        <f t="shared" si="59"/>
        <v>11038731</v>
      </c>
      <c r="G75" s="14">
        <f t="shared" si="59"/>
        <v>800435</v>
      </c>
      <c r="H75" s="14">
        <f t="shared" si="59"/>
        <v>1320675.6699999976</v>
      </c>
      <c r="I75" s="14">
        <f t="shared" si="59"/>
        <v>155814</v>
      </c>
      <c r="J75" s="14">
        <f t="shared" si="59"/>
        <v>0</v>
      </c>
      <c r="K75" s="153">
        <f t="shared" si="59"/>
        <v>0</v>
      </c>
      <c r="L75" s="153">
        <f t="shared" si="59"/>
        <v>0</v>
      </c>
      <c r="M75" s="253">
        <f t="shared" ref="M75" si="60">M40+M55+M59+M74</f>
        <v>0</v>
      </c>
      <c r="N75" s="203">
        <f t="shared" si="59"/>
        <v>-86.690593365485981</v>
      </c>
      <c r="O75" s="203">
        <f t="shared" ref="O75:AA75" si="61">O40+O55+O59+O74</f>
        <v>86.690593365485981</v>
      </c>
      <c r="P75" s="253">
        <f t="shared" si="61"/>
        <v>11027408.460000044</v>
      </c>
      <c r="Q75" s="344">
        <f t="shared" si="61"/>
        <v>-172.20000000000002</v>
      </c>
      <c r="R75" s="344">
        <f t="shared" si="61"/>
        <v>172.20000000000002</v>
      </c>
      <c r="S75" s="253">
        <f t="shared" si="61"/>
        <v>760413.24999999627</v>
      </c>
      <c r="T75" s="372">
        <f t="shared" si="61"/>
        <v>-0.23572996225000001</v>
      </c>
      <c r="U75" s="372">
        <f t="shared" si="61"/>
        <v>0.23572996225000001</v>
      </c>
      <c r="V75" s="253">
        <f t="shared" si="61"/>
        <v>1320635.1400000018</v>
      </c>
      <c r="W75" s="358">
        <f t="shared" si="61"/>
        <v>-14428.177500000002</v>
      </c>
      <c r="X75" s="358">
        <f t="shared" si="61"/>
        <v>14428.177500000002</v>
      </c>
      <c r="Y75" s="253">
        <f t="shared" si="61"/>
        <v>148023.29999999999</v>
      </c>
      <c r="Z75" s="215">
        <f t="shared" si="61"/>
        <v>0</v>
      </c>
      <c r="AA75" s="215">
        <f t="shared" si="61"/>
        <v>0</v>
      </c>
      <c r="AB75" s="253">
        <f>AB40+AB55+AB59+AB74</f>
        <v>0</v>
      </c>
      <c r="AC75" s="517">
        <f t="shared" ref="AC75:AH75" si="62">AC40+AC55+AC59+AC74</f>
        <v>0</v>
      </c>
      <c r="AD75" s="517">
        <f t="shared" si="62"/>
        <v>0</v>
      </c>
      <c r="AE75" s="548">
        <f t="shared" si="62"/>
        <v>0</v>
      </c>
      <c r="AF75" s="548">
        <f t="shared" si="62"/>
        <v>0</v>
      </c>
      <c r="AG75" s="476">
        <f t="shared" si="62"/>
        <v>0</v>
      </c>
      <c r="AH75" s="476">
        <f t="shared" si="62"/>
        <v>0</v>
      </c>
      <c r="AI75" s="39">
        <f>AI40+AI55+AI59+AI74</f>
        <v>6469579.3900000621</v>
      </c>
    </row>
    <row r="76" spans="1:35" ht="13.5" thickBot="1" x14ac:dyDescent="0.25">
      <c r="A76" s="78">
        <v>26</v>
      </c>
      <c r="B76" s="79"/>
      <c r="C76" s="40" t="s">
        <v>151</v>
      </c>
      <c r="D76" s="38">
        <v>103018.97</v>
      </c>
      <c r="E76" s="38"/>
      <c r="F76" s="38">
        <v>6163242</v>
      </c>
      <c r="G76" s="38">
        <v>91471</v>
      </c>
      <c r="H76" s="38">
        <v>45781.64</v>
      </c>
      <c r="I76" s="38">
        <v>138477</v>
      </c>
      <c r="J76" s="38"/>
      <c r="K76" s="153"/>
      <c r="L76" s="153"/>
      <c r="M76" s="230">
        <f>ROUND(E76*(1-8.18%),2)</f>
        <v>0</v>
      </c>
      <c r="N76" s="203"/>
      <c r="O76" s="203"/>
      <c r="P76" s="375">
        <f>ROUND(F76*(1-0.10257103%),2)</f>
        <v>6156920.2999999998</v>
      </c>
      <c r="Q76" s="376"/>
      <c r="R76" s="376"/>
      <c r="S76" s="230">
        <f>ROUND(G76*(1-5%),2)</f>
        <v>86897.45</v>
      </c>
      <c r="T76" s="377"/>
      <c r="U76" s="377"/>
      <c r="V76" s="375">
        <f>ROUND(H76*(1-0.0030707%),2)</f>
        <v>45780.23</v>
      </c>
      <c r="W76" s="378"/>
      <c r="X76" s="378"/>
      <c r="Y76" s="230">
        <f>ROUND(I76*(1-5%),2)</f>
        <v>131553.15</v>
      </c>
      <c r="Z76" s="215"/>
      <c r="AA76" s="215"/>
      <c r="AB76" s="230">
        <f>ROUND(J76*(1-1.31%),2)</f>
        <v>0</v>
      </c>
      <c r="AC76" s="508"/>
      <c r="AD76" s="508"/>
      <c r="AE76" s="539"/>
      <c r="AF76" s="539"/>
      <c r="AG76" s="467"/>
      <c r="AH76" s="467"/>
      <c r="AI76" s="8">
        <f>SUM(D76:J76)-SUM(K76:AH76)</f>
        <v>120839.47999999858</v>
      </c>
    </row>
    <row r="77" spans="1:35" ht="17.25" customHeight="1" thickBot="1" x14ac:dyDescent="0.25">
      <c r="A77" s="78">
        <v>27</v>
      </c>
      <c r="B77" s="79"/>
      <c r="C77" s="41" t="s">
        <v>211</v>
      </c>
      <c r="D77" s="504">
        <f>D75-D76</f>
        <v>6307384.9000000013</v>
      </c>
      <c r="E77" s="504">
        <f t="shared" ref="E77:AA77" si="63">E75-E76</f>
        <v>0</v>
      </c>
      <c r="F77" s="504">
        <f t="shared" si="63"/>
        <v>4875489</v>
      </c>
      <c r="G77" s="504">
        <f t="shared" si="63"/>
        <v>708964</v>
      </c>
      <c r="H77" s="504">
        <f t="shared" si="63"/>
        <v>1274894.0299999977</v>
      </c>
      <c r="I77" s="504">
        <f t="shared" si="63"/>
        <v>17337</v>
      </c>
      <c r="J77" s="504">
        <f t="shared" si="63"/>
        <v>0</v>
      </c>
      <c r="K77" s="154">
        <f t="shared" si="63"/>
        <v>0</v>
      </c>
      <c r="L77" s="154">
        <f t="shared" si="63"/>
        <v>0</v>
      </c>
      <c r="M77" s="254">
        <f t="shared" ref="M77" si="64">M75-M76</f>
        <v>0</v>
      </c>
      <c r="N77" s="204">
        <f t="shared" si="63"/>
        <v>-86.690593365485981</v>
      </c>
      <c r="O77" s="204">
        <f t="shared" si="63"/>
        <v>86.690593365485981</v>
      </c>
      <c r="P77" s="254">
        <f t="shared" ref="P77:Y77" si="65">P75-P76</f>
        <v>4870488.1600000439</v>
      </c>
      <c r="Q77" s="345">
        <f t="shared" si="65"/>
        <v>-172.20000000000002</v>
      </c>
      <c r="R77" s="345">
        <f t="shared" si="65"/>
        <v>172.20000000000002</v>
      </c>
      <c r="S77" s="254">
        <f t="shared" si="65"/>
        <v>673515.79999999632</v>
      </c>
      <c r="T77" s="373">
        <f t="shared" si="65"/>
        <v>-0.23572996225000001</v>
      </c>
      <c r="U77" s="373">
        <f t="shared" si="65"/>
        <v>0.23572996225000001</v>
      </c>
      <c r="V77" s="254">
        <f t="shared" si="65"/>
        <v>1274854.9100000018</v>
      </c>
      <c r="W77" s="359">
        <f t="shared" si="65"/>
        <v>-14428.177500000002</v>
      </c>
      <c r="X77" s="359">
        <f t="shared" si="65"/>
        <v>14428.177500000002</v>
      </c>
      <c r="Y77" s="254">
        <f t="shared" si="65"/>
        <v>16470.149999999994</v>
      </c>
      <c r="Z77" s="216">
        <f t="shared" si="63"/>
        <v>0</v>
      </c>
      <c r="AA77" s="216">
        <f t="shared" si="63"/>
        <v>0</v>
      </c>
      <c r="AB77" s="254">
        <f>AB75-AB76</f>
        <v>0</v>
      </c>
      <c r="AC77" s="519">
        <f t="shared" ref="AC77:AH77" si="66">AC75-AC76</f>
        <v>0</v>
      </c>
      <c r="AD77" s="519">
        <f t="shared" si="66"/>
        <v>0</v>
      </c>
      <c r="AE77" s="549">
        <f t="shared" si="66"/>
        <v>0</v>
      </c>
      <c r="AF77" s="549">
        <f t="shared" si="66"/>
        <v>0</v>
      </c>
      <c r="AG77" s="520">
        <f t="shared" si="66"/>
        <v>0</v>
      </c>
      <c r="AH77" s="520">
        <f t="shared" si="66"/>
        <v>0</v>
      </c>
      <c r="AI77" s="43">
        <f>AI75-AI76</f>
        <v>6348739.9100000635</v>
      </c>
    </row>
    <row r="78" spans="1:35" ht="14.1" customHeight="1" thickBot="1" x14ac:dyDescent="0.25">
      <c r="A78" s="81">
        <v>28</v>
      </c>
      <c r="B78" s="82"/>
      <c r="C78" s="44" t="s">
        <v>210</v>
      </c>
      <c r="D78" s="45"/>
      <c r="E78" s="45"/>
      <c r="F78" s="45"/>
      <c r="G78" s="45"/>
      <c r="H78" s="45"/>
      <c r="I78" s="45"/>
      <c r="J78" s="45"/>
      <c r="K78" s="155"/>
      <c r="L78" s="155"/>
      <c r="M78" s="255"/>
      <c r="N78" s="205"/>
      <c r="O78" s="205"/>
      <c r="P78" s="255"/>
      <c r="Q78" s="346"/>
      <c r="R78" s="346"/>
      <c r="S78" s="255"/>
      <c r="T78" s="374"/>
      <c r="U78" s="374"/>
      <c r="V78" s="255"/>
      <c r="W78" s="360"/>
      <c r="X78" s="360"/>
      <c r="Y78" s="255"/>
      <c r="Z78" s="217"/>
      <c r="AA78" s="217"/>
      <c r="AB78" s="255"/>
      <c r="AC78" s="518"/>
      <c r="AD78" s="518"/>
      <c r="AE78" s="550"/>
      <c r="AF78" s="550"/>
      <c r="AG78" s="477"/>
      <c r="AH78" s="477"/>
      <c r="AI78" s="46"/>
    </row>
    <row r="79" spans="1:35" ht="13.5" thickTop="1" x14ac:dyDescent="0.2">
      <c r="D79" s="91"/>
      <c r="E79" s="91"/>
      <c r="F79" s="91"/>
      <c r="G79" s="91"/>
      <c r="H79" s="91"/>
      <c r="I79" s="91"/>
      <c r="J79" s="91"/>
      <c r="K79" s="91"/>
    </row>
    <row r="80" spans="1:35" x14ac:dyDescent="0.2">
      <c r="D80" s="91"/>
      <c r="E80" s="91"/>
      <c r="F80" s="91"/>
      <c r="G80" s="91"/>
      <c r="H80" s="91"/>
      <c r="I80" s="91"/>
      <c r="J80" s="91"/>
      <c r="K80" s="91"/>
    </row>
    <row r="81" spans="4:10" x14ac:dyDescent="0.2">
      <c r="D81" s="91"/>
      <c r="E81" s="91"/>
      <c r="F81" s="91"/>
      <c r="G81" s="91"/>
      <c r="H81" s="91"/>
      <c r="I81" s="91"/>
      <c r="J81" s="91"/>
    </row>
  </sheetData>
  <mergeCells count="33">
    <mergeCell ref="K1:K2"/>
    <mergeCell ref="L1:L2"/>
    <mergeCell ref="N1:N2"/>
    <mergeCell ref="A1:C2"/>
    <mergeCell ref="D1:D2"/>
    <mergeCell ref="E1:E2"/>
    <mergeCell ref="F1:F2"/>
    <mergeCell ref="J1:J2"/>
    <mergeCell ref="G1:G2"/>
    <mergeCell ref="H1:H2"/>
    <mergeCell ref="I1:I2"/>
    <mergeCell ref="AB1:AB2"/>
    <mergeCell ref="O1:O2"/>
    <mergeCell ref="Z1:Z2"/>
    <mergeCell ref="M1:M2"/>
    <mergeCell ref="P1:P2"/>
    <mergeCell ref="AA1:AA2"/>
    <mergeCell ref="Q1:Q2"/>
    <mergeCell ref="R1:R2"/>
    <mergeCell ref="S1:S2"/>
    <mergeCell ref="V1:V2"/>
    <mergeCell ref="T1:T2"/>
    <mergeCell ref="U1:U2"/>
    <mergeCell ref="W1:W2"/>
    <mergeCell ref="X1:X2"/>
    <mergeCell ref="Y1:Y2"/>
    <mergeCell ref="AC1:AC2"/>
    <mergeCell ref="AD1:AD2"/>
    <mergeCell ref="AG1:AG2"/>
    <mergeCell ref="AH1:AH2"/>
    <mergeCell ref="AI1:AI2"/>
    <mergeCell ref="AE1:AE2"/>
    <mergeCell ref="AF1:AF2"/>
  </mergeCells>
  <pageMargins left="0.74803149606299213" right="0.74803149606299213" top="0.27559055118110237" bottom="7.874015748031496E-2" header="0.15748031496062992" footer="0.19685039370078741"/>
  <pageSetup paperSize="8" scale="68" fitToHeight="10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97"/>
  <sheetViews>
    <sheetView showGridLines="0" tabSelected="1" topLeftCell="A37" zoomScaleNormal="100" workbookViewId="0">
      <pane xSplit="11" topLeftCell="O1" activePane="topRight" state="frozen"/>
      <selection pane="topRight" activeCell="Q92" sqref="Q92"/>
    </sheetView>
  </sheetViews>
  <sheetFormatPr defaultColWidth="9.140625" defaultRowHeight="12.75" x14ac:dyDescent="0.2"/>
  <cols>
    <col min="1" max="1" width="3.28515625" style="138" customWidth="1"/>
    <col min="2" max="2" width="4.28515625" style="138" customWidth="1"/>
    <col min="3" max="3" width="3.28515625" style="138" customWidth="1"/>
    <col min="4" max="4" width="52.85546875" style="92" customWidth="1"/>
    <col min="5" max="5" width="15.5703125" style="92" bestFit="1" customWidth="1"/>
    <col min="6" max="6" width="14.85546875" style="92" hidden="1" customWidth="1"/>
    <col min="7" max="7" width="17.42578125" style="92" customWidth="1"/>
    <col min="8" max="8" width="13.85546875" style="92" customWidth="1"/>
    <col min="9" max="9" width="13.7109375" style="92" customWidth="1"/>
    <col min="10" max="10" width="15.7109375" style="92" customWidth="1"/>
    <col min="11" max="11" width="14" style="92" hidden="1" customWidth="1"/>
    <col min="12" max="12" width="13.140625" style="92" hidden="1" customWidth="1"/>
    <col min="13" max="13" width="12.85546875" style="92" hidden="1" customWidth="1"/>
    <col min="14" max="14" width="14.7109375" style="92" hidden="1" customWidth="1"/>
    <col min="15" max="16" width="13" style="92" customWidth="1"/>
    <col min="17" max="17" width="15.7109375" style="92" customWidth="1"/>
    <col min="18" max="26" width="14.7109375" style="92" customWidth="1"/>
    <col min="27" max="27" width="11.28515625" style="92" hidden="1" customWidth="1"/>
    <col min="28" max="28" width="13" style="92" hidden="1" customWidth="1"/>
    <col min="29" max="35" width="14.7109375" style="92" hidden="1" customWidth="1"/>
    <col min="36" max="36" width="15.140625" style="92" customWidth="1"/>
    <col min="37" max="37" width="4.7109375" style="92" customWidth="1"/>
    <col min="38" max="16384" width="9.140625" style="92"/>
  </cols>
  <sheetData>
    <row r="1" spans="1:36" ht="14.45" customHeight="1" thickTop="1" x14ac:dyDescent="0.2">
      <c r="A1" s="577" t="s">
        <v>163</v>
      </c>
      <c r="B1" s="578"/>
      <c r="C1" s="578"/>
      <c r="D1" s="579"/>
      <c r="E1" s="572" t="s">
        <v>235</v>
      </c>
      <c r="F1" s="572"/>
      <c r="G1" s="572" t="s">
        <v>236</v>
      </c>
      <c r="H1" s="572" t="s">
        <v>237</v>
      </c>
      <c r="I1" s="572" t="s">
        <v>238</v>
      </c>
      <c r="J1" s="572" t="s">
        <v>239</v>
      </c>
      <c r="K1" s="572"/>
      <c r="L1" s="572"/>
      <c r="M1" s="572"/>
      <c r="N1" s="572"/>
      <c r="O1" s="572" t="s">
        <v>240</v>
      </c>
      <c r="P1" s="572" t="s">
        <v>241</v>
      </c>
      <c r="Q1" s="572" t="s">
        <v>242</v>
      </c>
      <c r="R1" s="572" t="s">
        <v>243</v>
      </c>
      <c r="S1" s="572" t="s">
        <v>244</v>
      </c>
      <c r="T1" s="572" t="s">
        <v>245</v>
      </c>
      <c r="U1" s="572" t="s">
        <v>246</v>
      </c>
      <c r="V1" s="572" t="s">
        <v>247</v>
      </c>
      <c r="W1" s="572" t="s">
        <v>248</v>
      </c>
      <c r="X1" s="572" t="s">
        <v>249</v>
      </c>
      <c r="Y1" s="572" t="s">
        <v>250</v>
      </c>
      <c r="Z1" s="572" t="s">
        <v>251</v>
      </c>
      <c r="AA1" s="572"/>
      <c r="AB1" s="572"/>
      <c r="AC1" s="572"/>
      <c r="AD1" s="572"/>
      <c r="AE1" s="572"/>
      <c r="AF1" s="572"/>
      <c r="AG1" s="572"/>
      <c r="AH1" s="572"/>
      <c r="AI1" s="572"/>
      <c r="AJ1" s="575" t="s">
        <v>218</v>
      </c>
    </row>
    <row r="2" spans="1:36" ht="40.15" customHeight="1" thickBot="1" x14ac:dyDescent="0.25">
      <c r="A2" s="580"/>
      <c r="B2" s="581"/>
      <c r="C2" s="581"/>
      <c r="D2" s="582"/>
      <c r="E2" s="574"/>
      <c r="F2" s="574"/>
      <c r="G2" s="574"/>
      <c r="H2" s="574"/>
      <c r="I2" s="574"/>
      <c r="J2" s="573"/>
      <c r="K2" s="574"/>
      <c r="L2" s="574"/>
      <c r="M2" s="574"/>
      <c r="N2" s="574"/>
      <c r="O2" s="574"/>
      <c r="P2" s="574"/>
      <c r="Q2" s="574"/>
      <c r="R2" s="574"/>
      <c r="S2" s="574"/>
      <c r="T2" s="574"/>
      <c r="U2" s="574"/>
      <c r="V2" s="574"/>
      <c r="W2" s="574"/>
      <c r="X2" s="574"/>
      <c r="Y2" s="574"/>
      <c r="Z2" s="574"/>
      <c r="AA2" s="574"/>
      <c r="AB2" s="574"/>
      <c r="AC2" s="574"/>
      <c r="AD2" s="573"/>
      <c r="AE2" s="573"/>
      <c r="AF2" s="573"/>
      <c r="AG2" s="573"/>
      <c r="AH2" s="574"/>
      <c r="AI2" s="574"/>
      <c r="AJ2" s="576"/>
    </row>
    <row r="3" spans="1:36" ht="26.25" thickTop="1" x14ac:dyDescent="0.2">
      <c r="A3" s="93"/>
      <c r="B3" s="94">
        <v>1</v>
      </c>
      <c r="C3" s="95"/>
      <c r="D3" s="48" t="s">
        <v>173</v>
      </c>
      <c r="E3" s="96"/>
      <c r="F3" s="97"/>
      <c r="G3" s="97"/>
      <c r="H3" s="97">
        <v>1583</v>
      </c>
      <c r="I3" s="97"/>
      <c r="J3" s="97"/>
      <c r="K3" s="97"/>
      <c r="L3" s="156"/>
      <c r="M3" s="156"/>
      <c r="N3" s="235">
        <f>ROUND(F3*(1-8.18%),2)</f>
        <v>0</v>
      </c>
      <c r="O3" s="183"/>
      <c r="P3" s="183"/>
      <c r="Q3" s="235">
        <f>ROUND(G3*(1-0.10257103%),2)</f>
        <v>0</v>
      </c>
      <c r="R3" s="399"/>
      <c r="S3" s="399"/>
      <c r="T3" s="235">
        <f>ROUND(H3*(1-5%),2)</f>
        <v>1503.85</v>
      </c>
      <c r="U3" s="379"/>
      <c r="V3" s="379"/>
      <c r="W3" s="235">
        <f>ROUND(I3*(1-0.0030707%),2)</f>
        <v>0</v>
      </c>
      <c r="X3" s="389"/>
      <c r="Y3" s="389"/>
      <c r="Z3" s="235">
        <f>ROUND(J3*(1-5%),2)</f>
        <v>0</v>
      </c>
      <c r="AA3" s="218"/>
      <c r="AB3" s="218"/>
      <c r="AC3" s="235">
        <f>ROUND(K3*(1-1.31%),2)</f>
        <v>0</v>
      </c>
      <c r="AD3" s="521"/>
      <c r="AE3" s="521"/>
      <c r="AF3" s="551"/>
      <c r="AG3" s="551"/>
      <c r="AH3" s="478"/>
      <c r="AI3" s="478"/>
      <c r="AJ3" s="279">
        <f>SUM(E3:K3)-SUM(L3:AI3)</f>
        <v>79.150000000000091</v>
      </c>
    </row>
    <row r="4" spans="1:36" x14ac:dyDescent="0.2">
      <c r="A4" s="93"/>
      <c r="B4" s="94"/>
      <c r="C4" s="95"/>
      <c r="D4" s="72" t="s">
        <v>174</v>
      </c>
      <c r="E4" s="98">
        <f>E3</f>
        <v>0</v>
      </c>
      <c r="F4" s="99">
        <f t="shared" ref="F4:AI4" si="0">F3</f>
        <v>0</v>
      </c>
      <c r="G4" s="99">
        <f t="shared" si="0"/>
        <v>0</v>
      </c>
      <c r="H4" s="99">
        <f t="shared" si="0"/>
        <v>1583</v>
      </c>
      <c r="I4" s="99">
        <f t="shared" si="0"/>
        <v>0</v>
      </c>
      <c r="J4" s="99">
        <f t="shared" si="0"/>
        <v>0</v>
      </c>
      <c r="K4" s="99">
        <f t="shared" si="0"/>
        <v>0</v>
      </c>
      <c r="L4" s="157">
        <f t="shared" si="0"/>
        <v>0</v>
      </c>
      <c r="M4" s="157">
        <f t="shared" si="0"/>
        <v>0</v>
      </c>
      <c r="N4" s="236">
        <f t="shared" ref="N4:P4" si="1">N3</f>
        <v>0</v>
      </c>
      <c r="O4" s="184">
        <f t="shared" si="1"/>
        <v>0</v>
      </c>
      <c r="P4" s="184">
        <f t="shared" si="1"/>
        <v>0</v>
      </c>
      <c r="Q4" s="236">
        <f t="shared" ref="Q4:AA4" si="2">Q3</f>
        <v>0</v>
      </c>
      <c r="R4" s="400">
        <f t="shared" si="2"/>
        <v>0</v>
      </c>
      <c r="S4" s="400">
        <f t="shared" si="2"/>
        <v>0</v>
      </c>
      <c r="T4" s="236">
        <f t="shared" si="2"/>
        <v>1503.85</v>
      </c>
      <c r="U4" s="380">
        <f t="shared" si="2"/>
        <v>0</v>
      </c>
      <c r="V4" s="380">
        <f t="shared" si="2"/>
        <v>0</v>
      </c>
      <c r="W4" s="236">
        <f t="shared" si="2"/>
        <v>0</v>
      </c>
      <c r="X4" s="390">
        <f t="shared" si="2"/>
        <v>0</v>
      </c>
      <c r="Y4" s="390">
        <f t="shared" si="2"/>
        <v>0</v>
      </c>
      <c r="Z4" s="236">
        <f t="shared" si="2"/>
        <v>0</v>
      </c>
      <c r="AA4" s="219">
        <f t="shared" si="2"/>
        <v>0</v>
      </c>
      <c r="AB4" s="219">
        <f t="shared" si="0"/>
        <v>0</v>
      </c>
      <c r="AC4" s="236">
        <f t="shared" si="0"/>
        <v>0</v>
      </c>
      <c r="AD4" s="522">
        <f t="shared" si="0"/>
        <v>0</v>
      </c>
      <c r="AE4" s="522">
        <f t="shared" si="0"/>
        <v>0</v>
      </c>
      <c r="AF4" s="552">
        <f t="shared" si="0"/>
        <v>0</v>
      </c>
      <c r="AG4" s="552">
        <f t="shared" si="0"/>
        <v>0</v>
      </c>
      <c r="AH4" s="479">
        <f t="shared" si="0"/>
        <v>0</v>
      </c>
      <c r="AI4" s="479">
        <f t="shared" si="0"/>
        <v>0</v>
      </c>
      <c r="AJ4" s="100">
        <f>SUM(E4:J4)-SUM(K4:AI4)</f>
        <v>79.150000000000091</v>
      </c>
    </row>
    <row r="5" spans="1:36" x14ac:dyDescent="0.2">
      <c r="A5" s="93"/>
      <c r="B5" s="94"/>
      <c r="C5" s="95"/>
      <c r="D5" s="101" t="s">
        <v>175</v>
      </c>
      <c r="E5" s="102"/>
      <c r="F5" s="103"/>
      <c r="G5" s="103"/>
      <c r="H5" s="103"/>
      <c r="I5" s="103"/>
      <c r="J5" s="103"/>
      <c r="K5" s="103"/>
      <c r="L5" s="158"/>
      <c r="M5" s="158"/>
      <c r="N5" s="141"/>
      <c r="O5" s="185"/>
      <c r="P5" s="185"/>
      <c r="Q5" s="141"/>
      <c r="R5" s="401"/>
      <c r="S5" s="401"/>
      <c r="T5" s="141"/>
      <c r="U5" s="381"/>
      <c r="V5" s="381"/>
      <c r="W5" s="141"/>
      <c r="X5" s="391"/>
      <c r="Y5" s="391"/>
      <c r="Z5" s="141"/>
      <c r="AA5" s="220"/>
      <c r="AB5" s="220"/>
      <c r="AC5" s="141"/>
      <c r="AD5" s="523"/>
      <c r="AE5" s="523"/>
      <c r="AF5" s="553"/>
      <c r="AG5" s="553"/>
      <c r="AH5" s="480"/>
      <c r="AI5" s="480"/>
      <c r="AJ5" s="47"/>
    </row>
    <row r="6" spans="1:36" x14ac:dyDescent="0.2">
      <c r="A6" s="93" t="s">
        <v>41</v>
      </c>
      <c r="B6" s="94"/>
      <c r="C6" s="95"/>
      <c r="D6" s="104" t="s">
        <v>58</v>
      </c>
      <c r="E6" s="102"/>
      <c r="F6" s="103"/>
      <c r="G6" s="103"/>
      <c r="H6" s="103"/>
      <c r="I6" s="103"/>
      <c r="J6" s="103"/>
      <c r="K6" s="103"/>
      <c r="L6" s="158"/>
      <c r="M6" s="158"/>
      <c r="N6" s="141"/>
      <c r="O6" s="185"/>
      <c r="P6" s="185"/>
      <c r="Q6" s="141"/>
      <c r="R6" s="401"/>
      <c r="S6" s="401"/>
      <c r="T6" s="141"/>
      <c r="U6" s="381"/>
      <c r="V6" s="381"/>
      <c r="W6" s="141"/>
      <c r="X6" s="391"/>
      <c r="Y6" s="391"/>
      <c r="Z6" s="141"/>
      <c r="AA6" s="220"/>
      <c r="AB6" s="220"/>
      <c r="AC6" s="141"/>
      <c r="AD6" s="523"/>
      <c r="AE6" s="523"/>
      <c r="AF6" s="553"/>
      <c r="AG6" s="553"/>
      <c r="AH6" s="480"/>
      <c r="AI6" s="480"/>
      <c r="AJ6" s="47"/>
    </row>
    <row r="7" spans="1:36" x14ac:dyDescent="0.2">
      <c r="A7" s="93"/>
      <c r="B7" s="94">
        <v>1</v>
      </c>
      <c r="C7" s="95"/>
      <c r="D7" s="105" t="s">
        <v>70</v>
      </c>
      <c r="E7" s="102"/>
      <c r="F7" s="103"/>
      <c r="G7" s="103"/>
      <c r="H7" s="103"/>
      <c r="I7" s="103"/>
      <c r="J7" s="103"/>
      <c r="K7" s="103"/>
      <c r="L7" s="158"/>
      <c r="M7" s="158"/>
      <c r="N7" s="235">
        <f t="shared" ref="N7:N13" si="3">ROUND(F7*(1-8.18%),2)</f>
        <v>0</v>
      </c>
      <c r="O7" s="185"/>
      <c r="P7" s="185"/>
      <c r="Q7" s="235">
        <f t="shared" ref="Q7:Q13" si="4">ROUND(G7*(1-0.10257103%),2)</f>
        <v>0</v>
      </c>
      <c r="R7" s="399"/>
      <c r="S7" s="399"/>
      <c r="T7" s="235">
        <f t="shared" ref="T7:T13" si="5">ROUND(H7*(1-5%),2)</f>
        <v>0</v>
      </c>
      <c r="U7" s="379"/>
      <c r="V7" s="379"/>
      <c r="W7" s="235">
        <f t="shared" ref="W7:W13" si="6">ROUND(I7*(1-0.0030707%),2)</f>
        <v>0</v>
      </c>
      <c r="X7" s="389"/>
      <c r="Y7" s="389"/>
      <c r="Z7" s="235">
        <f t="shared" ref="Z7:Z13" si="7">ROUND(J7*(1-5%),2)</f>
        <v>0</v>
      </c>
      <c r="AA7" s="220"/>
      <c r="AB7" s="220"/>
      <c r="AC7" s="235">
        <f t="shared" ref="AC7:AC13" si="8">ROUND(K7*(1-1.31%),2)</f>
        <v>0</v>
      </c>
      <c r="AD7" s="521"/>
      <c r="AE7" s="521"/>
      <c r="AF7" s="551"/>
      <c r="AG7" s="551"/>
      <c r="AH7" s="478"/>
      <c r="AI7" s="478"/>
      <c r="AJ7" s="47">
        <f t="shared" ref="AJ7:AJ13" si="9">SUM(E7:K7)-SUM(L7:AI7)</f>
        <v>0</v>
      </c>
    </row>
    <row r="8" spans="1:36" x14ac:dyDescent="0.2">
      <c r="A8" s="93"/>
      <c r="B8" s="94">
        <v>2</v>
      </c>
      <c r="C8" s="95"/>
      <c r="D8" s="105" t="s">
        <v>71</v>
      </c>
      <c r="E8" s="102"/>
      <c r="F8" s="103"/>
      <c r="G8" s="103"/>
      <c r="H8" s="103"/>
      <c r="I8" s="103"/>
      <c r="J8" s="103"/>
      <c r="K8" s="103"/>
      <c r="L8" s="158"/>
      <c r="M8" s="158"/>
      <c r="N8" s="235">
        <f t="shared" si="3"/>
        <v>0</v>
      </c>
      <c r="O8" s="185"/>
      <c r="P8" s="185"/>
      <c r="Q8" s="235">
        <f t="shared" si="4"/>
        <v>0</v>
      </c>
      <c r="R8" s="399"/>
      <c r="S8" s="399"/>
      <c r="T8" s="235">
        <f t="shared" si="5"/>
        <v>0</v>
      </c>
      <c r="U8" s="379"/>
      <c r="V8" s="379"/>
      <c r="W8" s="235">
        <f t="shared" si="6"/>
        <v>0</v>
      </c>
      <c r="X8" s="389"/>
      <c r="Y8" s="389"/>
      <c r="Z8" s="235">
        <f t="shared" si="7"/>
        <v>0</v>
      </c>
      <c r="AA8" s="220"/>
      <c r="AB8" s="220"/>
      <c r="AC8" s="235">
        <f t="shared" si="8"/>
        <v>0</v>
      </c>
      <c r="AD8" s="521"/>
      <c r="AE8" s="521"/>
      <c r="AF8" s="551"/>
      <c r="AG8" s="551"/>
      <c r="AH8" s="478"/>
      <c r="AI8" s="478"/>
      <c r="AJ8" s="47">
        <f t="shared" si="9"/>
        <v>0</v>
      </c>
    </row>
    <row r="9" spans="1:36" x14ac:dyDescent="0.2">
      <c r="A9" s="93"/>
      <c r="B9" s="94">
        <v>3</v>
      </c>
      <c r="C9" s="95"/>
      <c r="D9" s="105" t="s">
        <v>72</v>
      </c>
      <c r="E9" s="102"/>
      <c r="F9" s="103"/>
      <c r="G9" s="103"/>
      <c r="H9" s="103"/>
      <c r="I9" s="103"/>
      <c r="J9" s="103">
        <v>17634</v>
      </c>
      <c r="K9" s="103"/>
      <c r="L9" s="158"/>
      <c r="M9" s="158"/>
      <c r="N9" s="235">
        <f t="shared" si="3"/>
        <v>0</v>
      </c>
      <c r="O9" s="185"/>
      <c r="P9" s="185"/>
      <c r="Q9" s="235">
        <f t="shared" si="4"/>
        <v>0</v>
      </c>
      <c r="R9" s="399"/>
      <c r="S9" s="399"/>
      <c r="T9" s="235">
        <f t="shared" si="5"/>
        <v>0</v>
      </c>
      <c r="U9" s="379"/>
      <c r="V9" s="379"/>
      <c r="W9" s="235">
        <f t="shared" si="6"/>
        <v>0</v>
      </c>
      <c r="X9" s="389"/>
      <c r="Y9" s="389"/>
      <c r="Z9" s="235">
        <f t="shared" si="7"/>
        <v>16752.3</v>
      </c>
      <c r="AA9" s="220"/>
      <c r="AB9" s="220"/>
      <c r="AC9" s="235">
        <f t="shared" si="8"/>
        <v>0</v>
      </c>
      <c r="AD9" s="521"/>
      <c r="AE9" s="521"/>
      <c r="AF9" s="551"/>
      <c r="AG9" s="551"/>
      <c r="AH9" s="478"/>
      <c r="AI9" s="478"/>
      <c r="AJ9" s="47">
        <f t="shared" si="9"/>
        <v>881.70000000000073</v>
      </c>
    </row>
    <row r="10" spans="1:36" x14ac:dyDescent="0.2">
      <c r="A10" s="93"/>
      <c r="B10" s="94">
        <v>4</v>
      </c>
      <c r="C10" s="95"/>
      <c r="D10" s="105" t="s">
        <v>73</v>
      </c>
      <c r="E10" s="102"/>
      <c r="F10" s="103"/>
      <c r="G10" s="103">
        <v>29648068</v>
      </c>
      <c r="H10" s="103">
        <v>12924</v>
      </c>
      <c r="I10" s="103">
        <v>2853.65</v>
      </c>
      <c r="J10" s="103"/>
      <c r="K10" s="103"/>
      <c r="L10" s="158"/>
      <c r="M10" s="158"/>
      <c r="N10" s="235">
        <f t="shared" si="3"/>
        <v>0</v>
      </c>
      <c r="O10" s="185"/>
      <c r="P10" s="185"/>
      <c r="Q10" s="235">
        <f t="shared" si="4"/>
        <v>29617657.670000002</v>
      </c>
      <c r="R10" s="399"/>
      <c r="S10" s="399"/>
      <c r="T10" s="235">
        <f t="shared" si="5"/>
        <v>12277.8</v>
      </c>
      <c r="U10" s="379"/>
      <c r="V10" s="379"/>
      <c r="W10" s="235">
        <f t="shared" si="6"/>
        <v>2853.56</v>
      </c>
      <c r="X10" s="389"/>
      <c r="Y10" s="389"/>
      <c r="Z10" s="235">
        <f t="shared" si="7"/>
        <v>0</v>
      </c>
      <c r="AA10" s="220"/>
      <c r="AB10" s="220"/>
      <c r="AC10" s="235">
        <f t="shared" si="8"/>
        <v>0</v>
      </c>
      <c r="AD10" s="521"/>
      <c r="AE10" s="521"/>
      <c r="AF10" s="551"/>
      <c r="AG10" s="551"/>
      <c r="AH10" s="478"/>
      <c r="AI10" s="478"/>
      <c r="AJ10" s="47">
        <f t="shared" si="9"/>
        <v>31056.619999997318</v>
      </c>
    </row>
    <row r="11" spans="1:36" x14ac:dyDescent="0.2">
      <c r="A11" s="93"/>
      <c r="B11" s="94">
        <v>5</v>
      </c>
      <c r="C11" s="95"/>
      <c r="D11" s="105" t="s">
        <v>74</v>
      </c>
      <c r="E11" s="102"/>
      <c r="F11" s="103"/>
      <c r="G11" s="103"/>
      <c r="H11" s="103"/>
      <c r="I11" s="103"/>
      <c r="J11" s="103"/>
      <c r="K11" s="103"/>
      <c r="L11" s="465"/>
      <c r="M11" s="158"/>
      <c r="N11" s="235">
        <f t="shared" si="3"/>
        <v>0</v>
      </c>
      <c r="O11" s="506"/>
      <c r="P11" s="185"/>
      <c r="Q11" s="235">
        <f t="shared" si="4"/>
        <v>0</v>
      </c>
      <c r="R11" s="399"/>
      <c r="S11" s="399"/>
      <c r="T11" s="235">
        <f t="shared" si="5"/>
        <v>0</v>
      </c>
      <c r="U11" s="379"/>
      <c r="V11" s="379"/>
      <c r="W11" s="235">
        <f t="shared" si="6"/>
        <v>0</v>
      </c>
      <c r="X11" s="537"/>
      <c r="Y11" s="536"/>
      <c r="Z11" s="235">
        <f t="shared" si="7"/>
        <v>0</v>
      </c>
      <c r="AA11" s="220"/>
      <c r="AB11" s="220"/>
      <c r="AC11" s="235">
        <f t="shared" si="8"/>
        <v>0</v>
      </c>
      <c r="AD11" s="521"/>
      <c r="AE11" s="521"/>
      <c r="AF11" s="551"/>
      <c r="AG11" s="551"/>
      <c r="AH11" s="478"/>
      <c r="AI11" s="478"/>
      <c r="AJ11" s="47">
        <f t="shared" si="9"/>
        <v>0</v>
      </c>
    </row>
    <row r="12" spans="1:36" x14ac:dyDescent="0.2">
      <c r="A12" s="93"/>
      <c r="B12" s="94">
        <v>6</v>
      </c>
      <c r="C12" s="95"/>
      <c r="D12" s="105" t="s">
        <v>54</v>
      </c>
      <c r="E12" s="102"/>
      <c r="F12" s="103"/>
      <c r="G12" s="103">
        <v>69005924</v>
      </c>
      <c r="H12" s="103"/>
      <c r="I12" s="103"/>
      <c r="J12" s="103"/>
      <c r="K12" s="103"/>
      <c r="L12" s="158"/>
      <c r="M12" s="158"/>
      <c r="N12" s="235">
        <f t="shared" si="3"/>
        <v>0</v>
      </c>
      <c r="O12" s="185"/>
      <c r="P12" s="185"/>
      <c r="Q12" s="235">
        <f t="shared" si="4"/>
        <v>68935143.909999996</v>
      </c>
      <c r="R12" s="399"/>
      <c r="S12" s="399"/>
      <c r="T12" s="235">
        <f t="shared" si="5"/>
        <v>0</v>
      </c>
      <c r="U12" s="379"/>
      <c r="V12" s="379"/>
      <c r="W12" s="235">
        <f t="shared" si="6"/>
        <v>0</v>
      </c>
      <c r="X12" s="389"/>
      <c r="Y12" s="389"/>
      <c r="Z12" s="235">
        <f t="shared" si="7"/>
        <v>0</v>
      </c>
      <c r="AA12" s="220"/>
      <c r="AB12" s="220"/>
      <c r="AC12" s="235">
        <f t="shared" si="8"/>
        <v>0</v>
      </c>
      <c r="AD12" s="521"/>
      <c r="AE12" s="521"/>
      <c r="AF12" s="551"/>
      <c r="AG12" s="551"/>
      <c r="AH12" s="478"/>
      <c r="AI12" s="478"/>
      <c r="AJ12" s="47">
        <f t="shared" si="9"/>
        <v>70780.090000003576</v>
      </c>
    </row>
    <row r="13" spans="1:36" x14ac:dyDescent="0.2">
      <c r="A13" s="93"/>
      <c r="B13" s="94">
        <v>9</v>
      </c>
      <c r="C13" s="95"/>
      <c r="D13" s="12" t="s">
        <v>22</v>
      </c>
      <c r="E13" s="102">
        <v>193863.08</v>
      </c>
      <c r="F13" s="103"/>
      <c r="G13" s="103">
        <v>139155048</v>
      </c>
      <c r="H13" s="103">
        <v>245964</v>
      </c>
      <c r="I13" s="103"/>
      <c r="J13" s="103">
        <v>920698</v>
      </c>
      <c r="K13" s="103"/>
      <c r="L13" s="158"/>
      <c r="M13" s="158"/>
      <c r="N13" s="235">
        <f t="shared" si="3"/>
        <v>0</v>
      </c>
      <c r="O13" s="185">
        <f>(-331618.27*0.10257103%)-47584.62</f>
        <v>-47924.764275207184</v>
      </c>
      <c r="P13" s="185"/>
      <c r="Q13" s="235">
        <f t="shared" si="4"/>
        <v>139012315.22999999</v>
      </c>
      <c r="R13" s="399"/>
      <c r="S13" s="399"/>
      <c r="T13" s="235">
        <f t="shared" si="5"/>
        <v>233665.8</v>
      </c>
      <c r="U13" s="569"/>
      <c r="V13" s="379"/>
      <c r="W13" s="235">
        <f t="shared" si="6"/>
        <v>0</v>
      </c>
      <c r="X13" s="389">
        <v>-73088.25</v>
      </c>
      <c r="Y13" s="389"/>
      <c r="Z13" s="235">
        <f t="shared" si="7"/>
        <v>874663.1</v>
      </c>
      <c r="AA13" s="220"/>
      <c r="AB13" s="220"/>
      <c r="AC13" s="235">
        <f t="shared" si="8"/>
        <v>0</v>
      </c>
      <c r="AD13" s="521"/>
      <c r="AE13" s="521"/>
      <c r="AF13" s="551"/>
      <c r="AG13" s="551"/>
      <c r="AH13" s="478"/>
      <c r="AI13" s="478"/>
      <c r="AJ13" s="47">
        <f t="shared" si="9"/>
        <v>515941.9642752111</v>
      </c>
    </row>
    <row r="14" spans="1:36" x14ac:dyDescent="0.2">
      <c r="A14" s="106"/>
      <c r="B14" s="107"/>
      <c r="C14" s="108"/>
      <c r="D14" s="73" t="s">
        <v>176</v>
      </c>
      <c r="E14" s="109">
        <f>SUM(E7:E13)</f>
        <v>193863.08</v>
      </c>
      <c r="F14" s="109">
        <f t="shared" ref="F14:AJ14" si="10">SUM(F7:F13)</f>
        <v>0</v>
      </c>
      <c r="G14" s="109">
        <f t="shared" si="10"/>
        <v>237809040</v>
      </c>
      <c r="H14" s="109">
        <f t="shared" si="10"/>
        <v>258888</v>
      </c>
      <c r="I14" s="109">
        <f t="shared" si="10"/>
        <v>2853.65</v>
      </c>
      <c r="J14" s="109">
        <f t="shared" si="10"/>
        <v>938332</v>
      </c>
      <c r="K14" s="109">
        <f t="shared" si="10"/>
        <v>0</v>
      </c>
      <c r="L14" s="159">
        <f t="shared" si="10"/>
        <v>0</v>
      </c>
      <c r="M14" s="159">
        <f t="shared" si="10"/>
        <v>0</v>
      </c>
      <c r="N14" s="237">
        <f t="shared" ref="N14" si="11">SUM(N7:N13)</f>
        <v>0</v>
      </c>
      <c r="O14" s="186">
        <f t="shared" si="10"/>
        <v>-47924.764275207184</v>
      </c>
      <c r="P14" s="186">
        <f t="shared" si="10"/>
        <v>0</v>
      </c>
      <c r="Q14" s="237">
        <f t="shared" si="10"/>
        <v>237565116.81</v>
      </c>
      <c r="R14" s="402">
        <f t="shared" si="10"/>
        <v>0</v>
      </c>
      <c r="S14" s="402">
        <f t="shared" si="10"/>
        <v>0</v>
      </c>
      <c r="T14" s="237">
        <f t="shared" si="10"/>
        <v>245943.59999999998</v>
      </c>
      <c r="U14" s="382">
        <f t="shared" si="10"/>
        <v>0</v>
      </c>
      <c r="V14" s="382">
        <f t="shared" si="10"/>
        <v>0</v>
      </c>
      <c r="W14" s="237">
        <f t="shared" si="10"/>
        <v>2853.56</v>
      </c>
      <c r="X14" s="392">
        <f t="shared" si="10"/>
        <v>-73088.25</v>
      </c>
      <c r="Y14" s="392">
        <f t="shared" si="10"/>
        <v>0</v>
      </c>
      <c r="Z14" s="237">
        <f t="shared" si="10"/>
        <v>891415.4</v>
      </c>
      <c r="AA14" s="221">
        <f t="shared" si="10"/>
        <v>0</v>
      </c>
      <c r="AB14" s="221">
        <f t="shared" si="10"/>
        <v>0</v>
      </c>
      <c r="AC14" s="237">
        <f t="shared" si="10"/>
        <v>0</v>
      </c>
      <c r="AD14" s="524">
        <f t="shared" si="10"/>
        <v>0</v>
      </c>
      <c r="AE14" s="524">
        <f t="shared" si="10"/>
        <v>0</v>
      </c>
      <c r="AF14" s="554">
        <f t="shared" si="10"/>
        <v>0</v>
      </c>
      <c r="AG14" s="554">
        <f t="shared" si="10"/>
        <v>0</v>
      </c>
      <c r="AH14" s="482">
        <f t="shared" si="10"/>
        <v>0</v>
      </c>
      <c r="AI14" s="482">
        <f t="shared" si="10"/>
        <v>0</v>
      </c>
      <c r="AJ14" s="110">
        <f t="shared" si="10"/>
        <v>618660.37427521194</v>
      </c>
    </row>
    <row r="15" spans="1:36" x14ac:dyDescent="0.2">
      <c r="A15" s="93"/>
      <c r="B15" s="94"/>
      <c r="C15" s="95"/>
      <c r="D15" s="41"/>
      <c r="E15" s="102"/>
      <c r="F15" s="103"/>
      <c r="G15" s="103"/>
      <c r="H15" s="103"/>
      <c r="I15" s="103"/>
      <c r="J15" s="103"/>
      <c r="K15" s="103"/>
      <c r="L15" s="158"/>
      <c r="M15" s="158"/>
      <c r="N15" s="141"/>
      <c r="O15" s="185"/>
      <c r="P15" s="185"/>
      <c r="Q15" s="141"/>
      <c r="R15" s="401"/>
      <c r="S15" s="401"/>
      <c r="T15" s="141"/>
      <c r="U15" s="381"/>
      <c r="V15" s="381"/>
      <c r="W15" s="141"/>
      <c r="X15" s="391"/>
      <c r="Y15" s="391"/>
      <c r="Z15" s="141"/>
      <c r="AA15" s="220"/>
      <c r="AB15" s="220"/>
      <c r="AC15" s="141"/>
      <c r="AD15" s="523"/>
      <c r="AE15" s="523"/>
      <c r="AF15" s="553"/>
      <c r="AG15" s="553"/>
      <c r="AH15" s="480"/>
      <c r="AI15" s="480"/>
      <c r="AJ15" s="47"/>
    </row>
    <row r="16" spans="1:36" x14ac:dyDescent="0.2">
      <c r="A16" s="111"/>
      <c r="B16" s="112"/>
      <c r="C16" s="113"/>
      <c r="D16" s="49" t="s">
        <v>91</v>
      </c>
      <c r="E16" s="102"/>
      <c r="F16" s="103"/>
      <c r="G16" s="103"/>
      <c r="H16" s="103"/>
      <c r="I16" s="103"/>
      <c r="J16" s="103"/>
      <c r="K16" s="103"/>
      <c r="L16" s="158"/>
      <c r="M16" s="158"/>
      <c r="N16" s="141"/>
      <c r="O16" s="185"/>
      <c r="P16" s="185"/>
      <c r="Q16" s="141"/>
      <c r="R16" s="401"/>
      <c r="S16" s="401"/>
      <c r="T16" s="141"/>
      <c r="U16" s="381"/>
      <c r="V16" s="381"/>
      <c r="W16" s="141"/>
      <c r="X16" s="391"/>
      <c r="Y16" s="391"/>
      <c r="Z16" s="141"/>
      <c r="AA16" s="220"/>
      <c r="AB16" s="220"/>
      <c r="AC16" s="141"/>
      <c r="AD16" s="523"/>
      <c r="AE16" s="523"/>
      <c r="AF16" s="553"/>
      <c r="AG16" s="553"/>
      <c r="AH16" s="480"/>
      <c r="AI16" s="480"/>
      <c r="AJ16" s="47"/>
    </row>
    <row r="17" spans="1:36" x14ac:dyDescent="0.2">
      <c r="A17" s="111" t="s">
        <v>42</v>
      </c>
      <c r="B17" s="112">
        <v>1</v>
      </c>
      <c r="C17" s="113"/>
      <c r="D17" s="12" t="s">
        <v>90</v>
      </c>
      <c r="E17" s="102">
        <f>SUM(E18:E21)</f>
        <v>19705695.739999998</v>
      </c>
      <c r="F17" s="102">
        <f t="shared" ref="F17:AJ17" si="12">SUM(F18:F21)</f>
        <v>0</v>
      </c>
      <c r="G17" s="102">
        <f t="shared" si="12"/>
        <v>0</v>
      </c>
      <c r="H17" s="102">
        <f t="shared" si="12"/>
        <v>0</v>
      </c>
      <c r="I17" s="102">
        <f t="shared" si="12"/>
        <v>0</v>
      </c>
      <c r="J17" s="102">
        <f t="shared" si="12"/>
        <v>0</v>
      </c>
      <c r="K17" s="102">
        <f t="shared" si="12"/>
        <v>0</v>
      </c>
      <c r="L17" s="160">
        <f t="shared" si="12"/>
        <v>0</v>
      </c>
      <c r="M17" s="160">
        <f t="shared" si="12"/>
        <v>0</v>
      </c>
      <c r="N17" s="238">
        <f t="shared" ref="N17" si="13">SUM(N18:N21)</f>
        <v>0</v>
      </c>
      <c r="O17" s="187">
        <f t="shared" si="12"/>
        <v>0</v>
      </c>
      <c r="P17" s="187">
        <f t="shared" si="12"/>
        <v>0</v>
      </c>
      <c r="Q17" s="238">
        <f t="shared" si="12"/>
        <v>0</v>
      </c>
      <c r="R17" s="403">
        <f t="shared" si="12"/>
        <v>0</v>
      </c>
      <c r="S17" s="403">
        <f t="shared" si="12"/>
        <v>0</v>
      </c>
      <c r="T17" s="238">
        <f t="shared" si="12"/>
        <v>0</v>
      </c>
      <c r="U17" s="383">
        <f t="shared" si="12"/>
        <v>0</v>
      </c>
      <c r="V17" s="383">
        <f t="shared" si="12"/>
        <v>0</v>
      </c>
      <c r="W17" s="238">
        <f t="shared" si="12"/>
        <v>0</v>
      </c>
      <c r="X17" s="393">
        <f t="shared" si="12"/>
        <v>0</v>
      </c>
      <c r="Y17" s="393">
        <f t="shared" si="12"/>
        <v>0</v>
      </c>
      <c r="Z17" s="238">
        <f t="shared" si="12"/>
        <v>0</v>
      </c>
      <c r="AA17" s="222">
        <f t="shared" si="12"/>
        <v>0</v>
      </c>
      <c r="AB17" s="222">
        <f t="shared" si="12"/>
        <v>0</v>
      </c>
      <c r="AC17" s="238">
        <f t="shared" si="12"/>
        <v>0</v>
      </c>
      <c r="AD17" s="525"/>
      <c r="AE17" s="525"/>
      <c r="AF17" s="555"/>
      <c r="AG17" s="555"/>
      <c r="AH17" s="483">
        <f t="shared" si="12"/>
        <v>0</v>
      </c>
      <c r="AI17" s="483">
        <f t="shared" si="12"/>
        <v>0</v>
      </c>
      <c r="AJ17" s="47">
        <f t="shared" si="12"/>
        <v>19705695.739999998</v>
      </c>
    </row>
    <row r="18" spans="1:36" x14ac:dyDescent="0.2">
      <c r="A18" s="111"/>
      <c r="B18" s="112" t="s">
        <v>194</v>
      </c>
      <c r="C18" s="113"/>
      <c r="D18" s="12" t="s">
        <v>134</v>
      </c>
      <c r="E18" s="102">
        <v>182972.28</v>
      </c>
      <c r="F18" s="103"/>
      <c r="G18" s="103"/>
      <c r="H18" s="103"/>
      <c r="I18" s="103"/>
      <c r="J18" s="103"/>
      <c r="K18" s="103"/>
      <c r="L18" s="158"/>
      <c r="M18" s="158"/>
      <c r="N18" s="235">
        <f>ROUND(F18*(1-8.18%),2)</f>
        <v>0</v>
      </c>
      <c r="O18" s="185"/>
      <c r="P18" s="185"/>
      <c r="Q18" s="235">
        <f>ROUND(G18*(1-0.10257103%),2)</f>
        <v>0</v>
      </c>
      <c r="R18" s="399"/>
      <c r="S18" s="399"/>
      <c r="T18" s="235">
        <f>ROUND(H18*(1-5%),2)</f>
        <v>0</v>
      </c>
      <c r="U18" s="379"/>
      <c r="V18" s="379"/>
      <c r="W18" s="235">
        <f>ROUND(I18*(1-0.0030707%),2)</f>
        <v>0</v>
      </c>
      <c r="X18" s="389"/>
      <c r="Y18" s="389"/>
      <c r="Z18" s="235">
        <f>ROUND(J18*(1-5%),2)</f>
        <v>0</v>
      </c>
      <c r="AA18" s="220"/>
      <c r="AB18" s="220"/>
      <c r="AC18" s="235">
        <f>ROUND(K18*(1-1.31%),2)</f>
        <v>0</v>
      </c>
      <c r="AD18" s="521"/>
      <c r="AE18" s="521"/>
      <c r="AF18" s="551"/>
      <c r="AG18" s="551"/>
      <c r="AH18" s="478"/>
      <c r="AI18" s="478"/>
      <c r="AJ18" s="47">
        <f>SUM(E18:K18)-SUM(L18:AI18)</f>
        <v>182972.28</v>
      </c>
    </row>
    <row r="19" spans="1:36" x14ac:dyDescent="0.2">
      <c r="A19" s="111"/>
      <c r="B19" s="112" t="s">
        <v>195</v>
      </c>
      <c r="C19" s="113"/>
      <c r="D19" s="12" t="s">
        <v>133</v>
      </c>
      <c r="E19" s="102">
        <v>1126802.97</v>
      </c>
      <c r="F19" s="103"/>
      <c r="G19" s="103"/>
      <c r="H19" s="103"/>
      <c r="I19" s="103"/>
      <c r="J19" s="103"/>
      <c r="K19" s="103"/>
      <c r="L19" s="158"/>
      <c r="M19" s="158"/>
      <c r="N19" s="235">
        <f>ROUND(F19*(1-8.18%),2)</f>
        <v>0</v>
      </c>
      <c r="O19" s="185"/>
      <c r="P19" s="185"/>
      <c r="Q19" s="235">
        <f>ROUND(G19*(1-0.10257103%),2)</f>
        <v>0</v>
      </c>
      <c r="R19" s="399"/>
      <c r="S19" s="399"/>
      <c r="T19" s="235">
        <f>ROUND(H19*(1-5%),2)</f>
        <v>0</v>
      </c>
      <c r="U19" s="379"/>
      <c r="V19" s="379"/>
      <c r="W19" s="235">
        <f>ROUND(I19*(1-0.0030707%),2)</f>
        <v>0</v>
      </c>
      <c r="X19" s="389"/>
      <c r="Y19" s="389"/>
      <c r="Z19" s="235">
        <f>ROUND(J19*(1-5%),2)</f>
        <v>0</v>
      </c>
      <c r="AA19" s="220"/>
      <c r="AB19" s="220"/>
      <c r="AC19" s="235">
        <f>ROUND(K19*(1-1.31%),2)</f>
        <v>0</v>
      </c>
      <c r="AD19" s="521"/>
      <c r="AE19" s="521"/>
      <c r="AF19" s="551"/>
      <c r="AG19" s="551"/>
      <c r="AH19" s="478"/>
      <c r="AI19" s="478"/>
      <c r="AJ19" s="47">
        <f>SUM(E19:K19)-SUM(L19:AI19)</f>
        <v>1126802.97</v>
      </c>
    </row>
    <row r="20" spans="1:36" x14ac:dyDescent="0.2">
      <c r="A20" s="114"/>
      <c r="B20" s="112" t="s">
        <v>196</v>
      </c>
      <c r="C20" s="115"/>
      <c r="D20" s="74" t="s">
        <v>177</v>
      </c>
      <c r="E20" s="116">
        <v>18395920.489999998</v>
      </c>
      <c r="F20" s="117"/>
      <c r="G20" s="117"/>
      <c r="H20" s="117"/>
      <c r="I20" s="117"/>
      <c r="J20" s="117"/>
      <c r="K20" s="117"/>
      <c r="L20" s="161"/>
      <c r="M20" s="161"/>
      <c r="N20" s="235">
        <f>ROUND(F20*(1-8.18%),2)</f>
        <v>0</v>
      </c>
      <c r="O20" s="188"/>
      <c r="P20" s="188"/>
      <c r="Q20" s="235">
        <f>ROUND(G20*(1-0.10257103%),2)</f>
        <v>0</v>
      </c>
      <c r="R20" s="399"/>
      <c r="S20" s="399"/>
      <c r="T20" s="235">
        <f>ROUND(H20*(1-5%),2)</f>
        <v>0</v>
      </c>
      <c r="U20" s="379"/>
      <c r="V20" s="379"/>
      <c r="W20" s="235">
        <f>ROUND(I20*(1-0.0030707%),2)</f>
        <v>0</v>
      </c>
      <c r="X20" s="389"/>
      <c r="Y20" s="389"/>
      <c r="Z20" s="235">
        <f>ROUND(J20*(1-5%),2)</f>
        <v>0</v>
      </c>
      <c r="AA20" s="223"/>
      <c r="AB20" s="223"/>
      <c r="AC20" s="235">
        <f>ROUND(K20*(1-1.31%),2)</f>
        <v>0</v>
      </c>
      <c r="AD20" s="521"/>
      <c r="AE20" s="521"/>
      <c r="AF20" s="551"/>
      <c r="AG20" s="551"/>
      <c r="AH20" s="478"/>
      <c r="AI20" s="478"/>
      <c r="AJ20" s="47">
        <f>SUM(E20:K20)-SUM(L20:AI20)</f>
        <v>18395920.489999998</v>
      </c>
    </row>
    <row r="21" spans="1:36" x14ac:dyDescent="0.2">
      <c r="A21" s="111"/>
      <c r="B21" s="112" t="s">
        <v>197</v>
      </c>
      <c r="C21" s="113"/>
      <c r="D21" s="12" t="s">
        <v>135</v>
      </c>
      <c r="E21" s="102"/>
      <c r="F21" s="103"/>
      <c r="G21" s="103"/>
      <c r="H21" s="103"/>
      <c r="I21" s="103"/>
      <c r="J21" s="103"/>
      <c r="K21" s="103"/>
      <c r="L21" s="158"/>
      <c r="M21" s="158"/>
      <c r="N21" s="235">
        <f>ROUND(F21*(1-8.18%),2)</f>
        <v>0</v>
      </c>
      <c r="O21" s="185"/>
      <c r="P21" s="185"/>
      <c r="Q21" s="235">
        <f>ROUND(G21*(1-0.10257103%),2)</f>
        <v>0</v>
      </c>
      <c r="R21" s="399"/>
      <c r="S21" s="399"/>
      <c r="T21" s="235">
        <f>ROUND(H21*(1-5%),2)</f>
        <v>0</v>
      </c>
      <c r="U21" s="379"/>
      <c r="V21" s="379"/>
      <c r="W21" s="235">
        <f>ROUND(I21*(1-0.0030707%),2)</f>
        <v>0</v>
      </c>
      <c r="X21" s="389"/>
      <c r="Y21" s="389"/>
      <c r="Z21" s="235">
        <f>ROUND(J21*(1-5%),2)</f>
        <v>0</v>
      </c>
      <c r="AA21" s="220"/>
      <c r="AB21" s="220"/>
      <c r="AC21" s="235">
        <f>ROUND(K21*(1-1.31%),2)</f>
        <v>0</v>
      </c>
      <c r="AD21" s="521"/>
      <c r="AE21" s="521"/>
      <c r="AF21" s="551"/>
      <c r="AG21" s="551"/>
      <c r="AH21" s="478"/>
      <c r="AI21" s="478"/>
      <c r="AJ21" s="47">
        <f>SUM(E21:K21)-SUM(L21:AI21)</f>
        <v>0</v>
      </c>
    </row>
    <row r="22" spans="1:36" x14ac:dyDescent="0.2">
      <c r="A22" s="111" t="s">
        <v>44</v>
      </c>
      <c r="B22" s="112">
        <v>2</v>
      </c>
      <c r="C22" s="113"/>
      <c r="D22" s="12" t="s">
        <v>131</v>
      </c>
      <c r="E22" s="102">
        <f>E23+E25+E27+E29+E30+E31+E32+E33+E34</f>
        <v>16376339.16</v>
      </c>
      <c r="F22" s="102">
        <f t="shared" ref="F22:AJ22" si="14">F23+F25+F27+F29+F30+F31+F32+F33+F34</f>
        <v>0</v>
      </c>
      <c r="G22" s="102">
        <f t="shared" si="14"/>
        <v>33406847</v>
      </c>
      <c r="H22" s="102">
        <f t="shared" si="14"/>
        <v>49999780</v>
      </c>
      <c r="I22" s="102">
        <f t="shared" si="14"/>
        <v>12456.800000000001</v>
      </c>
      <c r="J22" s="102">
        <f t="shared" si="14"/>
        <v>319223</v>
      </c>
      <c r="K22" s="102">
        <f t="shared" si="14"/>
        <v>0</v>
      </c>
      <c r="L22" s="160">
        <f t="shared" si="14"/>
        <v>0</v>
      </c>
      <c r="M22" s="160">
        <f t="shared" si="14"/>
        <v>0</v>
      </c>
      <c r="N22" s="238">
        <f t="shared" ref="N22" si="15">N23+N25+N27+N29+N30+N31+N32+N33+N34</f>
        <v>0</v>
      </c>
      <c r="O22" s="187">
        <f t="shared" si="14"/>
        <v>0</v>
      </c>
      <c r="P22" s="187">
        <f t="shared" si="14"/>
        <v>0</v>
      </c>
      <c r="Q22" s="238">
        <f t="shared" si="14"/>
        <v>33372581.260000005</v>
      </c>
      <c r="R22" s="403">
        <f t="shared" si="14"/>
        <v>0</v>
      </c>
      <c r="S22" s="403">
        <f t="shared" si="14"/>
        <v>0</v>
      </c>
      <c r="T22" s="238">
        <f t="shared" si="14"/>
        <v>47499790.999999993</v>
      </c>
      <c r="U22" s="383">
        <f t="shared" si="14"/>
        <v>0</v>
      </c>
      <c r="V22" s="383">
        <f t="shared" si="14"/>
        <v>0</v>
      </c>
      <c r="W22" s="238">
        <f t="shared" si="14"/>
        <v>12456.420000000002</v>
      </c>
      <c r="X22" s="393">
        <f t="shared" si="14"/>
        <v>0</v>
      </c>
      <c r="Y22" s="393">
        <f t="shared" si="14"/>
        <v>0</v>
      </c>
      <c r="Z22" s="238">
        <f t="shared" si="14"/>
        <v>303261.84999999998</v>
      </c>
      <c r="AA22" s="222">
        <f t="shared" si="14"/>
        <v>0</v>
      </c>
      <c r="AB22" s="222">
        <f t="shared" si="14"/>
        <v>0</v>
      </c>
      <c r="AC22" s="238">
        <f t="shared" si="14"/>
        <v>0</v>
      </c>
      <c r="AD22" s="525"/>
      <c r="AE22" s="525"/>
      <c r="AF22" s="555"/>
      <c r="AG22" s="555"/>
      <c r="AH22" s="483">
        <f t="shared" si="14"/>
        <v>0</v>
      </c>
      <c r="AI22" s="483">
        <f t="shared" si="14"/>
        <v>0</v>
      </c>
      <c r="AJ22" s="47">
        <f t="shared" si="14"/>
        <v>18926555.429999992</v>
      </c>
    </row>
    <row r="23" spans="1:36" x14ac:dyDescent="0.2">
      <c r="A23" s="111"/>
      <c r="B23" s="112" t="s">
        <v>198</v>
      </c>
      <c r="C23" s="113"/>
      <c r="D23" s="12" t="s">
        <v>132</v>
      </c>
      <c r="E23" s="102">
        <v>4253427.32</v>
      </c>
      <c r="F23" s="103"/>
      <c r="G23" s="103">
        <v>1752488</v>
      </c>
      <c r="H23" s="103">
        <v>14023076</v>
      </c>
      <c r="I23" s="103"/>
      <c r="J23" s="103"/>
      <c r="K23" s="103"/>
      <c r="L23" s="158"/>
      <c r="M23" s="158"/>
      <c r="N23" s="235">
        <f t="shared" ref="N23:N35" si="16">ROUND(F23*(1-8.18%),2)</f>
        <v>0</v>
      </c>
      <c r="O23" s="185"/>
      <c r="P23" s="185"/>
      <c r="Q23" s="235">
        <f t="shared" ref="Q23:Q35" si="17">ROUND(G23*(1-0.10257103%),2)</f>
        <v>1750690.46</v>
      </c>
      <c r="R23" s="399"/>
      <c r="S23" s="399"/>
      <c r="T23" s="235">
        <f t="shared" ref="T23:T35" si="18">ROUND(H23*(1-5%),2)</f>
        <v>13321922.199999999</v>
      </c>
      <c r="U23" s="379"/>
      <c r="V23" s="379"/>
      <c r="W23" s="235">
        <f t="shared" ref="W23:W35" si="19">ROUND(I23*(1-0.0030707%),2)</f>
        <v>0</v>
      </c>
      <c r="X23" s="389"/>
      <c r="Y23" s="389"/>
      <c r="Z23" s="235">
        <f t="shared" ref="Z23:Z35" si="20">ROUND(J23*(1-5%),2)</f>
        <v>0</v>
      </c>
      <c r="AA23" s="220"/>
      <c r="AB23" s="220"/>
      <c r="AC23" s="235">
        <f t="shared" ref="AC23:AC35" si="21">ROUND(K23*(1-1.31%),2)</f>
        <v>0</v>
      </c>
      <c r="AD23" s="521"/>
      <c r="AE23" s="521"/>
      <c r="AF23" s="551"/>
      <c r="AG23" s="551"/>
      <c r="AH23" s="478"/>
      <c r="AI23" s="478"/>
      <c r="AJ23" s="47">
        <f t="shared" ref="AJ23:AJ35" si="22">SUM(E23:K23)-SUM(L23:AI23)</f>
        <v>4956378.66</v>
      </c>
    </row>
    <row r="24" spans="1:36" x14ac:dyDescent="0.2">
      <c r="A24" s="111"/>
      <c r="B24" s="112"/>
      <c r="C24" s="113" t="s">
        <v>29</v>
      </c>
      <c r="D24" s="50" t="s">
        <v>140</v>
      </c>
      <c r="E24" s="102"/>
      <c r="F24" s="103"/>
      <c r="G24" s="103"/>
      <c r="H24" s="103"/>
      <c r="I24" s="103"/>
      <c r="J24" s="103"/>
      <c r="K24" s="103"/>
      <c r="L24" s="158"/>
      <c r="M24" s="158"/>
      <c r="N24" s="235">
        <f t="shared" si="16"/>
        <v>0</v>
      </c>
      <c r="O24" s="185"/>
      <c r="P24" s="185"/>
      <c r="Q24" s="235">
        <f t="shared" si="17"/>
        <v>0</v>
      </c>
      <c r="R24" s="399"/>
      <c r="S24" s="399"/>
      <c r="T24" s="235">
        <f t="shared" si="18"/>
        <v>0</v>
      </c>
      <c r="U24" s="379"/>
      <c r="V24" s="379"/>
      <c r="W24" s="235">
        <f t="shared" si="19"/>
        <v>0</v>
      </c>
      <c r="X24" s="389"/>
      <c r="Y24" s="389"/>
      <c r="Z24" s="235">
        <f t="shared" si="20"/>
        <v>0</v>
      </c>
      <c r="AA24" s="220"/>
      <c r="AB24" s="220"/>
      <c r="AC24" s="235">
        <f t="shared" si="21"/>
        <v>0</v>
      </c>
      <c r="AD24" s="521"/>
      <c r="AE24" s="521"/>
      <c r="AF24" s="551"/>
      <c r="AG24" s="551"/>
      <c r="AH24" s="478"/>
      <c r="AI24" s="478"/>
      <c r="AJ24" s="47">
        <f t="shared" si="22"/>
        <v>0</v>
      </c>
    </row>
    <row r="25" spans="1:36" x14ac:dyDescent="0.2">
      <c r="A25" s="111"/>
      <c r="B25" s="112" t="s">
        <v>199</v>
      </c>
      <c r="C25" s="113"/>
      <c r="D25" s="12" t="s">
        <v>133</v>
      </c>
      <c r="E25" s="102">
        <v>12039002.970000001</v>
      </c>
      <c r="F25" s="103"/>
      <c r="G25" s="103">
        <v>3266399</v>
      </c>
      <c r="H25" s="103">
        <v>3422495</v>
      </c>
      <c r="I25" s="103"/>
      <c r="J25" s="103">
        <v>8234</v>
      </c>
      <c r="K25" s="103"/>
      <c r="L25" s="158"/>
      <c r="M25" s="158"/>
      <c r="N25" s="235">
        <f t="shared" si="16"/>
        <v>0</v>
      </c>
      <c r="O25" s="185"/>
      <c r="P25" s="185"/>
      <c r="Q25" s="235">
        <f t="shared" si="17"/>
        <v>3263048.62</v>
      </c>
      <c r="R25" s="399"/>
      <c r="S25" s="399"/>
      <c r="T25" s="235">
        <f t="shared" si="18"/>
        <v>3251370.25</v>
      </c>
      <c r="U25" s="379"/>
      <c r="V25" s="379"/>
      <c r="W25" s="235">
        <f t="shared" si="19"/>
        <v>0</v>
      </c>
      <c r="X25" s="389"/>
      <c r="Y25" s="389"/>
      <c r="Z25" s="235">
        <f t="shared" si="20"/>
        <v>7822.3</v>
      </c>
      <c r="AA25" s="220"/>
      <c r="AB25" s="220"/>
      <c r="AC25" s="235">
        <f t="shared" si="21"/>
        <v>0</v>
      </c>
      <c r="AD25" s="521"/>
      <c r="AE25" s="521"/>
      <c r="AF25" s="551"/>
      <c r="AG25" s="551"/>
      <c r="AH25" s="478"/>
      <c r="AI25" s="478"/>
      <c r="AJ25" s="47">
        <f t="shared" si="22"/>
        <v>12213889.799999999</v>
      </c>
    </row>
    <row r="26" spans="1:36" x14ac:dyDescent="0.2">
      <c r="A26" s="111"/>
      <c r="B26" s="112"/>
      <c r="C26" s="113" t="s">
        <v>29</v>
      </c>
      <c r="D26" s="50" t="s">
        <v>140</v>
      </c>
      <c r="E26" s="102"/>
      <c r="F26" s="103"/>
      <c r="G26" s="103"/>
      <c r="H26" s="103"/>
      <c r="I26" s="103"/>
      <c r="J26" s="103"/>
      <c r="K26" s="103"/>
      <c r="L26" s="158"/>
      <c r="M26" s="158"/>
      <c r="N26" s="235">
        <f t="shared" si="16"/>
        <v>0</v>
      </c>
      <c r="O26" s="185"/>
      <c r="P26" s="185"/>
      <c r="Q26" s="235">
        <f t="shared" si="17"/>
        <v>0</v>
      </c>
      <c r="R26" s="399"/>
      <c r="S26" s="399"/>
      <c r="T26" s="235">
        <f t="shared" si="18"/>
        <v>0</v>
      </c>
      <c r="U26" s="379"/>
      <c r="V26" s="379"/>
      <c r="W26" s="235">
        <f t="shared" si="19"/>
        <v>0</v>
      </c>
      <c r="X26" s="389"/>
      <c r="Y26" s="389"/>
      <c r="Z26" s="235">
        <f t="shared" si="20"/>
        <v>0</v>
      </c>
      <c r="AA26" s="220"/>
      <c r="AB26" s="220"/>
      <c r="AC26" s="235">
        <f t="shared" si="21"/>
        <v>0</v>
      </c>
      <c r="AD26" s="521"/>
      <c r="AE26" s="521"/>
      <c r="AF26" s="551"/>
      <c r="AG26" s="551"/>
      <c r="AH26" s="478"/>
      <c r="AI26" s="478"/>
      <c r="AJ26" s="47">
        <f t="shared" si="22"/>
        <v>0</v>
      </c>
    </row>
    <row r="27" spans="1:36" x14ac:dyDescent="0.2">
      <c r="A27" s="111"/>
      <c r="B27" s="112" t="s">
        <v>200</v>
      </c>
      <c r="C27" s="113"/>
      <c r="D27" s="12" t="s">
        <v>23</v>
      </c>
      <c r="E27" s="102">
        <v>41.25</v>
      </c>
      <c r="F27" s="103"/>
      <c r="G27" s="103">
        <v>16828291</v>
      </c>
      <c r="H27" s="103">
        <v>32405457</v>
      </c>
      <c r="I27" s="103"/>
      <c r="J27" s="103">
        <v>45386</v>
      </c>
      <c r="K27" s="103"/>
      <c r="L27" s="158"/>
      <c r="M27" s="158"/>
      <c r="N27" s="235">
        <f t="shared" si="16"/>
        <v>0</v>
      </c>
      <c r="O27" s="185"/>
      <c r="P27" s="185"/>
      <c r="Q27" s="235">
        <f t="shared" si="17"/>
        <v>16811030.050000001</v>
      </c>
      <c r="R27" s="399"/>
      <c r="S27" s="399"/>
      <c r="T27" s="235">
        <f t="shared" si="18"/>
        <v>30785184.149999999</v>
      </c>
      <c r="U27" s="379"/>
      <c r="V27" s="379"/>
      <c r="W27" s="235">
        <f t="shared" si="19"/>
        <v>0</v>
      </c>
      <c r="X27" s="389"/>
      <c r="Y27" s="389"/>
      <c r="Z27" s="235">
        <f t="shared" si="20"/>
        <v>43116.7</v>
      </c>
      <c r="AA27" s="220"/>
      <c r="AB27" s="220"/>
      <c r="AC27" s="235">
        <f t="shared" si="21"/>
        <v>0</v>
      </c>
      <c r="AD27" s="521"/>
      <c r="AE27" s="521"/>
      <c r="AF27" s="551"/>
      <c r="AG27" s="551"/>
      <c r="AH27" s="478"/>
      <c r="AI27" s="478"/>
      <c r="AJ27" s="47">
        <f t="shared" si="22"/>
        <v>1639844.349999994</v>
      </c>
    </row>
    <row r="28" spans="1:36" x14ac:dyDescent="0.2">
      <c r="A28" s="111"/>
      <c r="B28" s="112"/>
      <c r="C28" s="113" t="s">
        <v>29</v>
      </c>
      <c r="D28" s="50" t="s">
        <v>140</v>
      </c>
      <c r="E28" s="102"/>
      <c r="F28" s="103"/>
      <c r="G28" s="103"/>
      <c r="H28" s="103"/>
      <c r="I28" s="103"/>
      <c r="J28" s="103"/>
      <c r="K28" s="103"/>
      <c r="L28" s="158"/>
      <c r="M28" s="158"/>
      <c r="N28" s="235">
        <f t="shared" si="16"/>
        <v>0</v>
      </c>
      <c r="O28" s="185"/>
      <c r="P28" s="185"/>
      <c r="Q28" s="235">
        <f t="shared" si="17"/>
        <v>0</v>
      </c>
      <c r="R28" s="399"/>
      <c r="S28" s="399"/>
      <c r="T28" s="235">
        <f t="shared" si="18"/>
        <v>0</v>
      </c>
      <c r="U28" s="379"/>
      <c r="V28" s="379"/>
      <c r="W28" s="235">
        <f t="shared" si="19"/>
        <v>0</v>
      </c>
      <c r="X28" s="389"/>
      <c r="Y28" s="389"/>
      <c r="Z28" s="235">
        <f t="shared" si="20"/>
        <v>0</v>
      </c>
      <c r="AA28" s="220"/>
      <c r="AB28" s="220"/>
      <c r="AC28" s="235">
        <f t="shared" si="21"/>
        <v>0</v>
      </c>
      <c r="AD28" s="521"/>
      <c r="AE28" s="521"/>
      <c r="AF28" s="551"/>
      <c r="AG28" s="551"/>
      <c r="AH28" s="478"/>
      <c r="AI28" s="478"/>
      <c r="AJ28" s="47">
        <f t="shared" si="22"/>
        <v>0</v>
      </c>
    </row>
    <row r="29" spans="1:36" x14ac:dyDescent="0.2">
      <c r="A29" s="111"/>
      <c r="B29" s="112" t="s">
        <v>201</v>
      </c>
      <c r="C29" s="113"/>
      <c r="D29" s="12" t="s">
        <v>75</v>
      </c>
      <c r="E29" s="102">
        <v>28282.41</v>
      </c>
      <c r="F29" s="103"/>
      <c r="G29" s="103">
        <v>10709315</v>
      </c>
      <c r="H29" s="103"/>
      <c r="I29" s="103"/>
      <c r="J29" s="103">
        <v>265603</v>
      </c>
      <c r="K29" s="103"/>
      <c r="L29" s="158"/>
      <c r="M29" s="158"/>
      <c r="N29" s="235">
        <f t="shared" si="16"/>
        <v>0</v>
      </c>
      <c r="O29" s="185"/>
      <c r="P29" s="185"/>
      <c r="Q29" s="235">
        <f t="shared" si="17"/>
        <v>10698330.35</v>
      </c>
      <c r="R29" s="399"/>
      <c r="S29" s="399"/>
      <c r="T29" s="235">
        <f t="shared" si="18"/>
        <v>0</v>
      </c>
      <c r="U29" s="379"/>
      <c r="V29" s="379"/>
      <c r="W29" s="235">
        <f t="shared" si="19"/>
        <v>0</v>
      </c>
      <c r="X29" s="389"/>
      <c r="Y29" s="389"/>
      <c r="Z29" s="235">
        <f t="shared" si="20"/>
        <v>252322.85</v>
      </c>
      <c r="AA29" s="220"/>
      <c r="AB29" s="220"/>
      <c r="AC29" s="235">
        <f t="shared" si="21"/>
        <v>0</v>
      </c>
      <c r="AD29" s="521"/>
      <c r="AE29" s="521"/>
      <c r="AF29" s="551"/>
      <c r="AG29" s="551"/>
      <c r="AH29" s="478"/>
      <c r="AI29" s="478"/>
      <c r="AJ29" s="47">
        <f t="shared" si="22"/>
        <v>52547.210000000894</v>
      </c>
    </row>
    <row r="30" spans="1:36" x14ac:dyDescent="0.2">
      <c r="A30" s="118"/>
      <c r="B30" s="112" t="s">
        <v>202</v>
      </c>
      <c r="C30" s="113"/>
      <c r="D30" s="12" t="s">
        <v>139</v>
      </c>
      <c r="E30" s="102">
        <v>1317.6</v>
      </c>
      <c r="F30" s="103"/>
      <c r="G30" s="103">
        <v>185509</v>
      </c>
      <c r="H30" s="103"/>
      <c r="I30" s="103"/>
      <c r="J30" s="103"/>
      <c r="K30" s="103"/>
      <c r="L30" s="158"/>
      <c r="M30" s="158"/>
      <c r="N30" s="235">
        <f t="shared" si="16"/>
        <v>0</v>
      </c>
      <c r="O30" s="185"/>
      <c r="P30" s="185"/>
      <c r="Q30" s="235">
        <f t="shared" si="17"/>
        <v>185318.72</v>
      </c>
      <c r="R30" s="399"/>
      <c r="S30" s="399"/>
      <c r="T30" s="235">
        <f t="shared" si="18"/>
        <v>0</v>
      </c>
      <c r="U30" s="379"/>
      <c r="V30" s="379"/>
      <c r="W30" s="235">
        <f t="shared" si="19"/>
        <v>0</v>
      </c>
      <c r="X30" s="389"/>
      <c r="Y30" s="389"/>
      <c r="Z30" s="235">
        <f t="shared" si="20"/>
        <v>0</v>
      </c>
      <c r="AA30" s="220"/>
      <c r="AB30" s="220"/>
      <c r="AC30" s="235">
        <f t="shared" si="21"/>
        <v>0</v>
      </c>
      <c r="AD30" s="521"/>
      <c r="AE30" s="521"/>
      <c r="AF30" s="551"/>
      <c r="AG30" s="551"/>
      <c r="AH30" s="478"/>
      <c r="AI30" s="478"/>
      <c r="AJ30" s="47">
        <f t="shared" si="22"/>
        <v>1507.8800000000047</v>
      </c>
    </row>
    <row r="31" spans="1:36" x14ac:dyDescent="0.2">
      <c r="A31" s="118"/>
      <c r="B31" s="112" t="s">
        <v>203</v>
      </c>
      <c r="C31" s="113"/>
      <c r="D31" s="12" t="s">
        <v>136</v>
      </c>
      <c r="E31" s="102">
        <v>15475.27</v>
      </c>
      <c r="F31" s="103"/>
      <c r="G31" s="103">
        <v>326751</v>
      </c>
      <c r="H31" s="103"/>
      <c r="I31" s="103">
        <v>10464.11</v>
      </c>
      <c r="J31" s="103"/>
      <c r="K31" s="103"/>
      <c r="L31" s="158"/>
      <c r="M31" s="158"/>
      <c r="N31" s="235">
        <f t="shared" si="16"/>
        <v>0</v>
      </c>
      <c r="O31" s="185"/>
      <c r="P31" s="185"/>
      <c r="Q31" s="235">
        <f t="shared" si="17"/>
        <v>326415.84999999998</v>
      </c>
      <c r="R31" s="399"/>
      <c r="S31" s="399"/>
      <c r="T31" s="235">
        <f t="shared" si="18"/>
        <v>0</v>
      </c>
      <c r="U31" s="379"/>
      <c r="V31" s="379"/>
      <c r="W31" s="235">
        <f t="shared" si="19"/>
        <v>10463.790000000001</v>
      </c>
      <c r="X31" s="389"/>
      <c r="Y31" s="389"/>
      <c r="Z31" s="235">
        <f t="shared" si="20"/>
        <v>0</v>
      </c>
      <c r="AA31" s="220"/>
      <c r="AB31" s="220"/>
      <c r="AC31" s="235">
        <f t="shared" si="21"/>
        <v>0</v>
      </c>
      <c r="AD31" s="521"/>
      <c r="AE31" s="521"/>
      <c r="AF31" s="551"/>
      <c r="AG31" s="551"/>
      <c r="AH31" s="478"/>
      <c r="AI31" s="478"/>
      <c r="AJ31" s="47">
        <f t="shared" si="22"/>
        <v>15810.740000000049</v>
      </c>
    </row>
    <row r="32" spans="1:36" x14ac:dyDescent="0.2">
      <c r="A32" s="118"/>
      <c r="B32" s="112" t="s">
        <v>204</v>
      </c>
      <c r="C32" s="113"/>
      <c r="D32" s="12" t="s">
        <v>137</v>
      </c>
      <c r="E32" s="102">
        <v>29492.400000000001</v>
      </c>
      <c r="F32" s="103"/>
      <c r="G32" s="103">
        <v>338094</v>
      </c>
      <c r="H32" s="103"/>
      <c r="I32" s="103">
        <v>1992.69</v>
      </c>
      <c r="J32" s="103"/>
      <c r="K32" s="103"/>
      <c r="L32" s="158"/>
      <c r="M32" s="158"/>
      <c r="N32" s="235">
        <f t="shared" si="16"/>
        <v>0</v>
      </c>
      <c r="O32" s="185"/>
      <c r="P32" s="185"/>
      <c r="Q32" s="235">
        <f t="shared" si="17"/>
        <v>337747.21</v>
      </c>
      <c r="R32" s="399"/>
      <c r="S32" s="399"/>
      <c r="T32" s="235">
        <f t="shared" si="18"/>
        <v>0</v>
      </c>
      <c r="U32" s="379"/>
      <c r="V32" s="379"/>
      <c r="W32" s="235">
        <f t="shared" si="19"/>
        <v>1992.63</v>
      </c>
      <c r="X32" s="389"/>
      <c r="Y32" s="389"/>
      <c r="Z32" s="235">
        <f t="shared" si="20"/>
        <v>0</v>
      </c>
      <c r="AA32" s="220"/>
      <c r="AB32" s="220"/>
      <c r="AC32" s="235">
        <f t="shared" si="21"/>
        <v>0</v>
      </c>
      <c r="AD32" s="521"/>
      <c r="AE32" s="521"/>
      <c r="AF32" s="551"/>
      <c r="AG32" s="551"/>
      <c r="AH32" s="478"/>
      <c r="AI32" s="478"/>
      <c r="AJ32" s="47">
        <f t="shared" si="22"/>
        <v>29839.25</v>
      </c>
    </row>
    <row r="33" spans="1:36" x14ac:dyDescent="0.2">
      <c r="A33" s="119"/>
      <c r="B33" s="112" t="s">
        <v>205</v>
      </c>
      <c r="C33" s="115"/>
      <c r="D33" s="74" t="s">
        <v>177</v>
      </c>
      <c r="E33" s="116"/>
      <c r="F33" s="117"/>
      <c r="G33" s="117"/>
      <c r="H33" s="117"/>
      <c r="I33" s="117"/>
      <c r="J33" s="117"/>
      <c r="K33" s="117"/>
      <c r="L33" s="161"/>
      <c r="M33" s="161"/>
      <c r="N33" s="235">
        <f t="shared" si="16"/>
        <v>0</v>
      </c>
      <c r="O33" s="188"/>
      <c r="P33" s="188"/>
      <c r="Q33" s="235">
        <f t="shared" si="17"/>
        <v>0</v>
      </c>
      <c r="R33" s="399"/>
      <c r="S33" s="399"/>
      <c r="T33" s="235">
        <f t="shared" si="18"/>
        <v>0</v>
      </c>
      <c r="U33" s="379"/>
      <c r="V33" s="379"/>
      <c r="W33" s="235">
        <f t="shared" si="19"/>
        <v>0</v>
      </c>
      <c r="X33" s="389"/>
      <c r="Y33" s="389"/>
      <c r="Z33" s="235">
        <f t="shared" si="20"/>
        <v>0</v>
      </c>
      <c r="AA33" s="223"/>
      <c r="AB33" s="223"/>
      <c r="AC33" s="235">
        <f t="shared" si="21"/>
        <v>0</v>
      </c>
      <c r="AD33" s="521"/>
      <c r="AE33" s="521"/>
      <c r="AF33" s="551"/>
      <c r="AG33" s="551"/>
      <c r="AH33" s="478"/>
      <c r="AI33" s="478"/>
      <c r="AJ33" s="47">
        <f t="shared" si="22"/>
        <v>0</v>
      </c>
    </row>
    <row r="34" spans="1:36" ht="15.75" customHeight="1" x14ac:dyDescent="0.2">
      <c r="A34" s="118"/>
      <c r="B34" s="112" t="s">
        <v>185</v>
      </c>
      <c r="C34" s="113"/>
      <c r="D34" s="12" t="s">
        <v>138</v>
      </c>
      <c r="E34" s="102">
        <v>9299.94</v>
      </c>
      <c r="F34" s="103"/>
      <c r="G34" s="103"/>
      <c r="H34" s="103">
        <v>148752</v>
      </c>
      <c r="I34" s="103"/>
      <c r="J34" s="103"/>
      <c r="K34" s="103"/>
      <c r="L34" s="158"/>
      <c r="M34" s="158"/>
      <c r="N34" s="235">
        <f t="shared" si="16"/>
        <v>0</v>
      </c>
      <c r="O34" s="185"/>
      <c r="P34" s="185"/>
      <c r="Q34" s="235">
        <f t="shared" si="17"/>
        <v>0</v>
      </c>
      <c r="R34" s="399"/>
      <c r="S34" s="399"/>
      <c r="T34" s="235">
        <f t="shared" si="18"/>
        <v>141314.4</v>
      </c>
      <c r="U34" s="379"/>
      <c r="V34" s="379"/>
      <c r="W34" s="235">
        <f t="shared" si="19"/>
        <v>0</v>
      </c>
      <c r="X34" s="389"/>
      <c r="Y34" s="389"/>
      <c r="Z34" s="235">
        <f t="shared" si="20"/>
        <v>0</v>
      </c>
      <c r="AA34" s="220"/>
      <c r="AB34" s="220"/>
      <c r="AC34" s="235">
        <f t="shared" si="21"/>
        <v>0</v>
      </c>
      <c r="AD34" s="521"/>
      <c r="AE34" s="521"/>
      <c r="AF34" s="551"/>
      <c r="AG34" s="551"/>
      <c r="AH34" s="478"/>
      <c r="AI34" s="478"/>
      <c r="AJ34" s="47">
        <f t="shared" si="22"/>
        <v>16737.540000000008</v>
      </c>
    </row>
    <row r="35" spans="1:36" x14ac:dyDescent="0.2">
      <c r="A35" s="111"/>
      <c r="B35" s="112">
        <v>3</v>
      </c>
      <c r="C35" s="113"/>
      <c r="D35" s="12" t="s">
        <v>89</v>
      </c>
      <c r="E35" s="102">
        <v>1892588.49</v>
      </c>
      <c r="F35" s="103"/>
      <c r="G35" s="103"/>
      <c r="H35" s="103">
        <v>129199905</v>
      </c>
      <c r="I35" s="103">
        <v>4975859.6100000003</v>
      </c>
      <c r="J35" s="103">
        <v>349830</v>
      </c>
      <c r="K35" s="103"/>
      <c r="L35" s="158"/>
      <c r="M35" s="158"/>
      <c r="N35" s="235">
        <f t="shared" si="16"/>
        <v>0</v>
      </c>
      <c r="O35" s="185"/>
      <c r="P35" s="185"/>
      <c r="Q35" s="235">
        <f t="shared" si="17"/>
        <v>0</v>
      </c>
      <c r="R35" s="399"/>
      <c r="S35" s="399"/>
      <c r="T35" s="235">
        <f t="shared" si="18"/>
        <v>122739909.75</v>
      </c>
      <c r="U35" s="379"/>
      <c r="V35" s="379"/>
      <c r="W35" s="235">
        <f t="shared" si="19"/>
        <v>4975706.82</v>
      </c>
      <c r="X35" s="389"/>
      <c r="Y35" s="389"/>
      <c r="Z35" s="235">
        <f t="shared" si="20"/>
        <v>332338.5</v>
      </c>
      <c r="AA35" s="220"/>
      <c r="AB35" s="220"/>
      <c r="AC35" s="235">
        <f t="shared" si="21"/>
        <v>0</v>
      </c>
      <c r="AD35" s="521"/>
      <c r="AE35" s="521"/>
      <c r="AF35" s="551"/>
      <c r="AG35" s="551"/>
      <c r="AH35" s="478"/>
      <c r="AI35" s="478"/>
      <c r="AJ35" s="47">
        <f t="shared" si="22"/>
        <v>8370228.0300000012</v>
      </c>
    </row>
    <row r="36" spans="1:36" x14ac:dyDescent="0.2">
      <c r="A36" s="111"/>
      <c r="B36" s="112"/>
      <c r="C36" s="113"/>
      <c r="D36" s="73" t="s">
        <v>178</v>
      </c>
      <c r="E36" s="109">
        <f>E17+E22+E35</f>
        <v>37974623.390000001</v>
      </c>
      <c r="F36" s="109">
        <f t="shared" ref="F36:AJ36" si="23">F17+F22+F35</f>
        <v>0</v>
      </c>
      <c r="G36" s="109">
        <f t="shared" si="23"/>
        <v>33406847</v>
      </c>
      <c r="H36" s="109">
        <f t="shared" si="23"/>
        <v>179199685</v>
      </c>
      <c r="I36" s="109">
        <f t="shared" si="23"/>
        <v>4988316.41</v>
      </c>
      <c r="J36" s="109">
        <f t="shared" si="23"/>
        <v>669053</v>
      </c>
      <c r="K36" s="109">
        <f t="shared" si="23"/>
        <v>0</v>
      </c>
      <c r="L36" s="159">
        <f t="shared" si="23"/>
        <v>0</v>
      </c>
      <c r="M36" s="159">
        <f t="shared" si="23"/>
        <v>0</v>
      </c>
      <c r="N36" s="237">
        <f t="shared" ref="N36" si="24">N17+N22+N35</f>
        <v>0</v>
      </c>
      <c r="O36" s="186">
        <f t="shared" si="23"/>
        <v>0</v>
      </c>
      <c r="P36" s="186">
        <f t="shared" si="23"/>
        <v>0</v>
      </c>
      <c r="Q36" s="237">
        <f t="shared" si="23"/>
        <v>33372581.260000005</v>
      </c>
      <c r="R36" s="402">
        <f t="shared" si="23"/>
        <v>0</v>
      </c>
      <c r="S36" s="402">
        <f t="shared" si="23"/>
        <v>0</v>
      </c>
      <c r="T36" s="237">
        <f t="shared" si="23"/>
        <v>170239700.75</v>
      </c>
      <c r="U36" s="382">
        <f t="shared" si="23"/>
        <v>0</v>
      </c>
      <c r="V36" s="382">
        <f t="shared" si="23"/>
        <v>0</v>
      </c>
      <c r="W36" s="237">
        <f t="shared" si="23"/>
        <v>4988163.24</v>
      </c>
      <c r="X36" s="392">
        <f t="shared" si="23"/>
        <v>0</v>
      </c>
      <c r="Y36" s="392">
        <f t="shared" si="23"/>
        <v>0</v>
      </c>
      <c r="Z36" s="237">
        <f t="shared" si="23"/>
        <v>635600.35</v>
      </c>
      <c r="AA36" s="221">
        <f t="shared" si="23"/>
        <v>0</v>
      </c>
      <c r="AB36" s="221">
        <f t="shared" si="23"/>
        <v>0</v>
      </c>
      <c r="AC36" s="237">
        <f t="shared" si="23"/>
        <v>0</v>
      </c>
      <c r="AD36" s="524">
        <f t="shared" si="23"/>
        <v>0</v>
      </c>
      <c r="AE36" s="524">
        <f t="shared" si="23"/>
        <v>0</v>
      </c>
      <c r="AF36" s="554">
        <f t="shared" si="23"/>
        <v>0</v>
      </c>
      <c r="AG36" s="554">
        <f t="shared" si="23"/>
        <v>0</v>
      </c>
      <c r="AH36" s="482">
        <f t="shared" si="23"/>
        <v>0</v>
      </c>
      <c r="AI36" s="482">
        <f t="shared" si="23"/>
        <v>0</v>
      </c>
      <c r="AJ36" s="110">
        <f t="shared" si="23"/>
        <v>47002479.199999988</v>
      </c>
    </row>
    <row r="37" spans="1:36" x14ac:dyDescent="0.2">
      <c r="A37" s="111"/>
      <c r="B37" s="112"/>
      <c r="C37" s="113"/>
      <c r="D37" s="12"/>
      <c r="E37" s="102"/>
      <c r="F37" s="103"/>
      <c r="G37" s="103"/>
      <c r="H37" s="103"/>
      <c r="I37" s="103"/>
      <c r="J37" s="103"/>
      <c r="K37" s="103"/>
      <c r="L37" s="158"/>
      <c r="M37" s="158"/>
      <c r="N37" s="141"/>
      <c r="O37" s="185"/>
      <c r="P37" s="185"/>
      <c r="Q37" s="141"/>
      <c r="R37" s="401"/>
      <c r="S37" s="401"/>
      <c r="T37" s="141"/>
      <c r="U37" s="381"/>
      <c r="V37" s="381"/>
      <c r="W37" s="141"/>
      <c r="X37" s="391"/>
      <c r="Y37" s="391"/>
      <c r="Z37" s="141"/>
      <c r="AA37" s="220"/>
      <c r="AB37" s="220"/>
      <c r="AC37" s="141"/>
      <c r="AD37" s="523"/>
      <c r="AE37" s="523"/>
      <c r="AF37" s="553"/>
      <c r="AG37" s="553"/>
      <c r="AH37" s="480"/>
      <c r="AI37" s="480"/>
      <c r="AJ37" s="47"/>
    </row>
    <row r="38" spans="1:36" x14ac:dyDescent="0.2">
      <c r="A38" s="93" t="s">
        <v>45</v>
      </c>
      <c r="B38" s="94"/>
      <c r="C38" s="95"/>
      <c r="D38" s="49" t="s">
        <v>65</v>
      </c>
      <c r="E38" s="102"/>
      <c r="F38" s="103"/>
      <c r="G38" s="103"/>
      <c r="H38" s="103"/>
      <c r="I38" s="103"/>
      <c r="J38" s="103"/>
      <c r="K38" s="103"/>
      <c r="L38" s="158"/>
      <c r="M38" s="158"/>
      <c r="N38" s="141"/>
      <c r="O38" s="185"/>
      <c r="P38" s="185"/>
      <c r="Q38" s="141"/>
      <c r="R38" s="401"/>
      <c r="S38" s="401"/>
      <c r="T38" s="141"/>
      <c r="U38" s="381"/>
      <c r="V38" s="381"/>
      <c r="W38" s="141"/>
      <c r="X38" s="391"/>
      <c r="Y38" s="391"/>
      <c r="Z38" s="141"/>
      <c r="AA38" s="220"/>
      <c r="AB38" s="220"/>
      <c r="AC38" s="141"/>
      <c r="AD38" s="523"/>
      <c r="AE38" s="523"/>
      <c r="AF38" s="553"/>
      <c r="AG38" s="553"/>
      <c r="AH38" s="480"/>
      <c r="AI38" s="480"/>
      <c r="AJ38" s="47"/>
    </row>
    <row r="39" spans="1:36" x14ac:dyDescent="0.2">
      <c r="A39" s="93"/>
      <c r="B39" s="94">
        <v>1</v>
      </c>
      <c r="C39" s="95"/>
      <c r="D39" s="12" t="s">
        <v>25</v>
      </c>
      <c r="E39" s="102">
        <f>SUM(E40:E42)</f>
        <v>2979746.46</v>
      </c>
      <c r="F39" s="102">
        <f t="shared" ref="F39:AJ39" si="25">SUM(F40:F42)</f>
        <v>0</v>
      </c>
      <c r="G39" s="102">
        <f t="shared" si="25"/>
        <v>0</v>
      </c>
      <c r="H39" s="102">
        <f t="shared" si="25"/>
        <v>1290433</v>
      </c>
      <c r="I39" s="102">
        <f t="shared" si="25"/>
        <v>0</v>
      </c>
      <c r="J39" s="102">
        <f t="shared" si="25"/>
        <v>4000</v>
      </c>
      <c r="K39" s="102">
        <f t="shared" si="25"/>
        <v>0</v>
      </c>
      <c r="L39" s="160">
        <f t="shared" si="25"/>
        <v>0</v>
      </c>
      <c r="M39" s="160">
        <f t="shared" si="25"/>
        <v>0</v>
      </c>
      <c r="N39" s="238">
        <f t="shared" ref="N39" si="26">SUM(N40:N42)</f>
        <v>0</v>
      </c>
      <c r="O39" s="187">
        <f t="shared" si="25"/>
        <v>392821</v>
      </c>
      <c r="P39" s="187">
        <f t="shared" si="25"/>
        <v>0</v>
      </c>
      <c r="Q39" s="238">
        <f t="shared" si="25"/>
        <v>0</v>
      </c>
      <c r="R39" s="403">
        <f t="shared" si="25"/>
        <v>2457644.2999999998</v>
      </c>
      <c r="S39" s="403">
        <f t="shared" si="25"/>
        <v>0</v>
      </c>
      <c r="T39" s="238">
        <f t="shared" si="25"/>
        <v>1225911.3500000001</v>
      </c>
      <c r="U39" s="383">
        <f t="shared" si="25"/>
        <v>370.62</v>
      </c>
      <c r="V39" s="383">
        <f t="shared" si="25"/>
        <v>0</v>
      </c>
      <c r="W39" s="238">
        <f t="shared" si="25"/>
        <v>0</v>
      </c>
      <c r="X39" s="393">
        <f t="shared" si="25"/>
        <v>128910.55</v>
      </c>
      <c r="Y39" s="393">
        <f t="shared" si="25"/>
        <v>0</v>
      </c>
      <c r="Z39" s="238">
        <f t="shared" si="25"/>
        <v>3800</v>
      </c>
      <c r="AA39" s="222">
        <f t="shared" si="25"/>
        <v>0</v>
      </c>
      <c r="AB39" s="222">
        <f t="shared" si="25"/>
        <v>0</v>
      </c>
      <c r="AC39" s="238">
        <f t="shared" si="25"/>
        <v>0</v>
      </c>
      <c r="AD39" s="525"/>
      <c r="AE39" s="525"/>
      <c r="AF39" s="555"/>
      <c r="AG39" s="555"/>
      <c r="AH39" s="483">
        <f t="shared" si="25"/>
        <v>0</v>
      </c>
      <c r="AI39" s="483">
        <f t="shared" si="25"/>
        <v>0</v>
      </c>
      <c r="AJ39" s="47">
        <f t="shared" si="25"/>
        <v>64721.64000000013</v>
      </c>
    </row>
    <row r="40" spans="1:36" x14ac:dyDescent="0.2">
      <c r="A40" s="93"/>
      <c r="B40" s="94"/>
      <c r="C40" s="95" t="s">
        <v>29</v>
      </c>
      <c r="D40" s="122" t="s">
        <v>88</v>
      </c>
      <c r="E40" s="102"/>
      <c r="F40" s="103"/>
      <c r="G40" s="103"/>
      <c r="H40" s="103">
        <v>1133783</v>
      </c>
      <c r="I40" s="103"/>
      <c r="J40" s="103"/>
      <c r="K40" s="103"/>
      <c r="L40" s="158"/>
      <c r="M40" s="158"/>
      <c r="N40" s="235">
        <f>ROUND(F40*(1-8.18%),2)</f>
        <v>0</v>
      </c>
      <c r="O40" s="185"/>
      <c r="P40" s="185"/>
      <c r="Q40" s="235">
        <f>ROUND(G40*(1-0.10257103%),2)</f>
        <v>0</v>
      </c>
      <c r="R40" s="399"/>
      <c r="S40" s="399"/>
      <c r="T40" s="235">
        <f>ROUND(H40*(1-5%),2)</f>
        <v>1077093.8500000001</v>
      </c>
      <c r="U40" s="379"/>
      <c r="V40" s="379"/>
      <c r="W40" s="235">
        <f>ROUND(I40*(1-0.0030707%),2)</f>
        <v>0</v>
      </c>
      <c r="X40" s="389"/>
      <c r="Y40" s="389"/>
      <c r="Z40" s="235">
        <f>ROUND(J40*(1-5%),2)</f>
        <v>0</v>
      </c>
      <c r="AA40" s="220"/>
      <c r="AB40" s="220"/>
      <c r="AC40" s="235">
        <f>ROUND(K40*(1-1.31%),2)</f>
        <v>0</v>
      </c>
      <c r="AD40" s="521"/>
      <c r="AE40" s="521"/>
      <c r="AF40" s="551"/>
      <c r="AG40" s="551"/>
      <c r="AH40" s="478"/>
      <c r="AI40" s="478"/>
      <c r="AJ40" s="47">
        <f>SUM(E40:K40)-SUM(L40:AI40)</f>
        <v>56689.149999999907</v>
      </c>
    </row>
    <row r="41" spans="1:36" x14ac:dyDescent="0.2">
      <c r="A41" s="93"/>
      <c r="B41" s="94"/>
      <c r="C41" s="95" t="s">
        <v>30</v>
      </c>
      <c r="D41" s="50" t="s">
        <v>104</v>
      </c>
      <c r="E41" s="102">
        <v>2979746.46</v>
      </c>
      <c r="F41" s="103"/>
      <c r="G41" s="103"/>
      <c r="H41" s="103">
        <v>156650</v>
      </c>
      <c r="I41" s="103"/>
      <c r="J41" s="103"/>
      <c r="K41" s="103"/>
      <c r="L41" s="498"/>
      <c r="M41" s="158"/>
      <c r="N41" s="235">
        <f>ROUND(F41*(1-8.18%),2)</f>
        <v>0</v>
      </c>
      <c r="O41" s="506">
        <v>392821</v>
      </c>
      <c r="P41" s="185"/>
      <c r="Q41" s="235">
        <f>ROUND(G41*(1-0.10257103%),2)</f>
        <v>0</v>
      </c>
      <c r="R41" s="566">
        <v>2457644.2999999998</v>
      </c>
      <c r="S41" s="399"/>
      <c r="T41" s="235">
        <f>ROUND(H41*(1-5%),2)</f>
        <v>148817.5</v>
      </c>
      <c r="U41" s="567">
        <v>370.62</v>
      </c>
      <c r="V41" s="379"/>
      <c r="W41" s="235">
        <f>ROUND(I41*(1-0.0030707%),2)</f>
        <v>0</v>
      </c>
      <c r="X41" s="536">
        <v>128910.55</v>
      </c>
      <c r="Y41" s="389"/>
      <c r="Z41" s="235">
        <f>ROUND(J41*(1-5%),2)</f>
        <v>0</v>
      </c>
      <c r="AA41" s="568"/>
      <c r="AB41" s="220"/>
      <c r="AC41" s="235">
        <f>ROUND(K41*(1-1.31%),2)</f>
        <v>0</v>
      </c>
      <c r="AD41" s="521"/>
      <c r="AE41" s="521"/>
      <c r="AF41" s="551"/>
      <c r="AG41" s="551"/>
      <c r="AH41" s="478"/>
      <c r="AI41" s="478"/>
      <c r="AJ41" s="47">
        <f>SUM(E41:K41)-SUM(L41:AI41)</f>
        <v>7832.4900000002235</v>
      </c>
    </row>
    <row r="42" spans="1:36" x14ac:dyDescent="0.2">
      <c r="A42" s="93"/>
      <c r="B42" s="94"/>
      <c r="C42" s="95" t="s">
        <v>31</v>
      </c>
      <c r="D42" s="50" t="s">
        <v>101</v>
      </c>
      <c r="E42" s="102"/>
      <c r="F42" s="103"/>
      <c r="G42" s="103"/>
      <c r="H42" s="103"/>
      <c r="I42" s="103"/>
      <c r="J42" s="103">
        <v>4000</v>
      </c>
      <c r="K42" s="103"/>
      <c r="L42" s="158"/>
      <c r="M42" s="158"/>
      <c r="N42" s="235">
        <f>ROUND(F42*(1-8.18%),2)</f>
        <v>0</v>
      </c>
      <c r="O42" s="185"/>
      <c r="P42" s="185"/>
      <c r="Q42" s="235">
        <f>ROUND(G42*(1-0.10257103%),2)</f>
        <v>0</v>
      </c>
      <c r="R42" s="399"/>
      <c r="S42" s="399"/>
      <c r="T42" s="235">
        <f>ROUND(H42*(1-5%),2)</f>
        <v>0</v>
      </c>
      <c r="U42" s="379"/>
      <c r="V42" s="379"/>
      <c r="W42" s="235">
        <f>ROUND(I42*(1-0.0030707%),2)</f>
        <v>0</v>
      </c>
      <c r="X42" s="389"/>
      <c r="Y42" s="389"/>
      <c r="Z42" s="235">
        <f>ROUND(J42*(1-5%),2)</f>
        <v>3800</v>
      </c>
      <c r="AA42" s="220"/>
      <c r="AB42" s="220"/>
      <c r="AC42" s="235">
        <f>ROUND(K42*(1-1.31%),2)</f>
        <v>0</v>
      </c>
      <c r="AD42" s="521"/>
      <c r="AE42" s="521"/>
      <c r="AF42" s="551"/>
      <c r="AG42" s="551"/>
      <c r="AH42" s="478"/>
      <c r="AI42" s="478"/>
      <c r="AJ42" s="47">
        <f>SUM(E42:K42)-SUM(L42:AI42)</f>
        <v>200</v>
      </c>
    </row>
    <row r="43" spans="1:36" x14ac:dyDescent="0.2">
      <c r="A43" s="93"/>
      <c r="B43" s="94">
        <v>2</v>
      </c>
      <c r="C43" s="95"/>
      <c r="D43" s="12" t="s">
        <v>26</v>
      </c>
      <c r="E43" s="102">
        <f>SUM(E44:E47)</f>
        <v>0</v>
      </c>
      <c r="F43" s="102">
        <f>SUM(F44:F47)</f>
        <v>0</v>
      </c>
      <c r="G43" s="102">
        <f t="shared" ref="G43:AJ43" si="27">SUM(G44:G47)</f>
        <v>0</v>
      </c>
      <c r="H43" s="102">
        <f t="shared" si="27"/>
        <v>12888938</v>
      </c>
      <c r="I43" s="102">
        <f t="shared" si="27"/>
        <v>0</v>
      </c>
      <c r="J43" s="102">
        <f t="shared" si="27"/>
        <v>0</v>
      </c>
      <c r="K43" s="102">
        <f t="shared" si="27"/>
        <v>0</v>
      </c>
      <c r="L43" s="160">
        <f t="shared" si="27"/>
        <v>0</v>
      </c>
      <c r="M43" s="160">
        <f t="shared" si="27"/>
        <v>0</v>
      </c>
      <c r="N43" s="238">
        <f t="shared" ref="N43" si="28">SUM(N44:N47)</f>
        <v>0</v>
      </c>
      <c r="O43" s="187">
        <f t="shared" si="27"/>
        <v>0</v>
      </c>
      <c r="P43" s="187">
        <f t="shared" si="27"/>
        <v>0</v>
      </c>
      <c r="Q43" s="238">
        <f t="shared" si="27"/>
        <v>0</v>
      </c>
      <c r="R43" s="403">
        <f t="shared" si="27"/>
        <v>0</v>
      </c>
      <c r="S43" s="403">
        <f t="shared" si="27"/>
        <v>0</v>
      </c>
      <c r="T43" s="238">
        <f t="shared" si="27"/>
        <v>12244491.1</v>
      </c>
      <c r="U43" s="383">
        <f t="shared" si="27"/>
        <v>0</v>
      </c>
      <c r="V43" s="383">
        <f t="shared" si="27"/>
        <v>0</v>
      </c>
      <c r="W43" s="238">
        <f t="shared" si="27"/>
        <v>0</v>
      </c>
      <c r="X43" s="393">
        <f t="shared" si="27"/>
        <v>0</v>
      </c>
      <c r="Y43" s="393">
        <f t="shared" si="27"/>
        <v>0</v>
      </c>
      <c r="Z43" s="238">
        <f t="shared" si="27"/>
        <v>0</v>
      </c>
      <c r="AA43" s="222">
        <f t="shared" si="27"/>
        <v>0</v>
      </c>
      <c r="AB43" s="222">
        <f t="shared" si="27"/>
        <v>0</v>
      </c>
      <c r="AC43" s="238">
        <f t="shared" si="27"/>
        <v>0</v>
      </c>
      <c r="AD43" s="525"/>
      <c r="AE43" s="525"/>
      <c r="AF43" s="555"/>
      <c r="AG43" s="555"/>
      <c r="AH43" s="483">
        <f t="shared" si="27"/>
        <v>0</v>
      </c>
      <c r="AI43" s="483">
        <f t="shared" si="27"/>
        <v>0</v>
      </c>
      <c r="AJ43" s="47">
        <f t="shared" si="27"/>
        <v>644446.90000000037</v>
      </c>
    </row>
    <row r="44" spans="1:36" x14ac:dyDescent="0.2">
      <c r="A44" s="93"/>
      <c r="B44" s="94"/>
      <c r="C44" s="95" t="s">
        <v>29</v>
      </c>
      <c r="D44" s="12" t="s">
        <v>105</v>
      </c>
      <c r="E44" s="102"/>
      <c r="F44" s="103"/>
      <c r="G44" s="103"/>
      <c r="H44" s="103"/>
      <c r="I44" s="103"/>
      <c r="J44" s="103"/>
      <c r="K44" s="103"/>
      <c r="L44" s="158"/>
      <c r="M44" s="158"/>
      <c r="N44" s="235">
        <f>ROUND(F44*(1-8.18%),2)</f>
        <v>0</v>
      </c>
      <c r="O44" s="185"/>
      <c r="P44" s="185"/>
      <c r="Q44" s="235">
        <f>ROUND(G44*(1-0.10257103%),2)</f>
        <v>0</v>
      </c>
      <c r="R44" s="399"/>
      <c r="S44" s="399"/>
      <c r="T44" s="235">
        <f>ROUND(H44*(1-5%),2)</f>
        <v>0</v>
      </c>
      <c r="U44" s="379"/>
      <c r="V44" s="379"/>
      <c r="W44" s="235">
        <f>ROUND(I44*(1-0.0030707%),2)</f>
        <v>0</v>
      </c>
      <c r="X44" s="389"/>
      <c r="Y44" s="389"/>
      <c r="Z44" s="235">
        <f>ROUND(J44*(1-5%),2)</f>
        <v>0</v>
      </c>
      <c r="AA44" s="220"/>
      <c r="AB44" s="220"/>
      <c r="AC44" s="235">
        <f>ROUND(K44*(1-1.31%),2)</f>
        <v>0</v>
      </c>
      <c r="AD44" s="521"/>
      <c r="AE44" s="521"/>
      <c r="AF44" s="551"/>
      <c r="AG44" s="551"/>
      <c r="AH44" s="478"/>
      <c r="AI44" s="478"/>
      <c r="AJ44" s="47">
        <f>SUM(E44:K44)-SUM(L44:AI44)</f>
        <v>0</v>
      </c>
    </row>
    <row r="45" spans="1:36" x14ac:dyDescent="0.2">
      <c r="A45" s="93"/>
      <c r="B45" s="94"/>
      <c r="C45" s="95" t="s">
        <v>30</v>
      </c>
      <c r="D45" s="122" t="s">
        <v>88</v>
      </c>
      <c r="E45" s="102"/>
      <c r="F45" s="103"/>
      <c r="G45" s="103"/>
      <c r="H45" s="103"/>
      <c r="I45" s="103"/>
      <c r="J45" s="103"/>
      <c r="K45" s="103"/>
      <c r="L45" s="158"/>
      <c r="M45" s="158"/>
      <c r="N45" s="235">
        <f>ROUND(F45*(1-8.18%),2)</f>
        <v>0</v>
      </c>
      <c r="O45" s="185"/>
      <c r="P45" s="185"/>
      <c r="Q45" s="235">
        <f>ROUND(G45*(1-0.10257103%),2)</f>
        <v>0</v>
      </c>
      <c r="R45" s="399"/>
      <c r="S45" s="399"/>
      <c r="T45" s="235">
        <f>ROUND(H45*(1-5%),2)</f>
        <v>0</v>
      </c>
      <c r="U45" s="379"/>
      <c r="V45" s="379"/>
      <c r="W45" s="235">
        <f>ROUND(I45*(1-0.0030707%),2)</f>
        <v>0</v>
      </c>
      <c r="X45" s="389"/>
      <c r="Y45" s="389"/>
      <c r="Z45" s="235">
        <f>ROUND(J45*(1-5%),2)</f>
        <v>0</v>
      </c>
      <c r="AA45" s="220"/>
      <c r="AB45" s="220"/>
      <c r="AC45" s="235">
        <f>ROUND(K45*(1-1.31%),2)</f>
        <v>0</v>
      </c>
      <c r="AD45" s="521"/>
      <c r="AE45" s="521"/>
      <c r="AF45" s="551"/>
      <c r="AG45" s="551"/>
      <c r="AH45" s="478"/>
      <c r="AI45" s="478"/>
      <c r="AJ45" s="47">
        <f>SUM(E45:K45)-SUM(L45:AI45)</f>
        <v>0</v>
      </c>
    </row>
    <row r="46" spans="1:36" x14ac:dyDescent="0.2">
      <c r="A46" s="93"/>
      <c r="B46" s="94"/>
      <c r="C46" s="95" t="s">
        <v>31</v>
      </c>
      <c r="D46" s="50" t="s">
        <v>217</v>
      </c>
      <c r="E46" s="102"/>
      <c r="F46" s="103"/>
      <c r="G46" s="103"/>
      <c r="H46" s="103"/>
      <c r="I46" s="103"/>
      <c r="J46" s="103"/>
      <c r="K46" s="103"/>
      <c r="L46" s="158"/>
      <c r="M46" s="158"/>
      <c r="N46" s="235">
        <f>ROUND(F46*(1-8.18%),2)</f>
        <v>0</v>
      </c>
      <c r="O46" s="185"/>
      <c r="P46" s="185"/>
      <c r="Q46" s="235">
        <f>ROUND(G46*(1-0.10257103%),2)</f>
        <v>0</v>
      </c>
      <c r="R46" s="399"/>
      <c r="S46" s="399"/>
      <c r="T46" s="235">
        <f>ROUND(H46*(1-5%),2)</f>
        <v>0</v>
      </c>
      <c r="U46" s="379"/>
      <c r="V46" s="379"/>
      <c r="W46" s="235">
        <f>ROUND(I46*(1-0.0030707%),2)</f>
        <v>0</v>
      </c>
      <c r="X46" s="389"/>
      <c r="Y46" s="389"/>
      <c r="Z46" s="235">
        <f>ROUND(J46*(1-5%),2)</f>
        <v>0</v>
      </c>
      <c r="AA46" s="220"/>
      <c r="AB46" s="220"/>
      <c r="AC46" s="235">
        <f>ROUND(K46*(1-1.31%),2)</f>
        <v>0</v>
      </c>
      <c r="AD46" s="521"/>
      <c r="AE46" s="521"/>
      <c r="AF46" s="551"/>
      <c r="AG46" s="551"/>
      <c r="AH46" s="478"/>
      <c r="AI46" s="478"/>
      <c r="AJ46" s="47">
        <f>SUM(E46:K46)-SUM(L46:AI46)</f>
        <v>0</v>
      </c>
    </row>
    <row r="47" spans="1:36" x14ac:dyDescent="0.2">
      <c r="A47" s="93"/>
      <c r="B47" s="94"/>
      <c r="C47" s="95" t="s">
        <v>32</v>
      </c>
      <c r="D47" s="50" t="s">
        <v>154</v>
      </c>
      <c r="E47" s="102"/>
      <c r="F47" s="103"/>
      <c r="G47" s="103"/>
      <c r="H47" s="103">
        <v>12888938</v>
      </c>
      <c r="I47" s="103"/>
      <c r="J47" s="103"/>
      <c r="K47" s="103"/>
      <c r="L47" s="158"/>
      <c r="M47" s="158"/>
      <c r="N47" s="235">
        <f>ROUND(F47*(1-8.18%),2)</f>
        <v>0</v>
      </c>
      <c r="O47" s="185"/>
      <c r="P47" s="185"/>
      <c r="Q47" s="235">
        <f>ROUND(G47*(1-0.10257103%),2)</f>
        <v>0</v>
      </c>
      <c r="R47" s="399"/>
      <c r="S47" s="399"/>
      <c r="T47" s="235">
        <f>ROUND(H47*(1-5%),2)</f>
        <v>12244491.1</v>
      </c>
      <c r="U47" s="379"/>
      <c r="V47" s="379"/>
      <c r="W47" s="235">
        <f>ROUND(I47*(1-0.0030707%),2)</f>
        <v>0</v>
      </c>
      <c r="X47" s="389"/>
      <c r="Y47" s="389"/>
      <c r="Z47" s="235">
        <f>ROUND(J47*(1-5%),2)</f>
        <v>0</v>
      </c>
      <c r="AA47" s="220"/>
      <c r="AB47" s="220"/>
      <c r="AC47" s="235">
        <f>ROUND(K47*(1-1.31%),2)</f>
        <v>0</v>
      </c>
      <c r="AD47" s="521"/>
      <c r="AE47" s="521"/>
      <c r="AF47" s="551"/>
      <c r="AG47" s="551"/>
      <c r="AH47" s="478"/>
      <c r="AI47" s="478"/>
      <c r="AJ47" s="47">
        <f>SUM(E47:K47)-SUM(L47:AI47)</f>
        <v>644446.90000000037</v>
      </c>
    </row>
    <row r="48" spans="1:36" x14ac:dyDescent="0.2">
      <c r="A48" s="93"/>
      <c r="B48" s="94">
        <v>3</v>
      </c>
      <c r="C48" s="123"/>
      <c r="D48" s="12" t="s">
        <v>24</v>
      </c>
      <c r="E48" s="102"/>
      <c r="F48" s="103"/>
      <c r="G48" s="103"/>
      <c r="H48" s="103"/>
      <c r="I48" s="103"/>
      <c r="J48" s="103"/>
      <c r="K48" s="103"/>
      <c r="L48" s="158"/>
      <c r="M48" s="158"/>
      <c r="N48" s="235">
        <f>ROUND(F48*(1-8.18%),2)</f>
        <v>0</v>
      </c>
      <c r="O48" s="185"/>
      <c r="P48" s="185"/>
      <c r="Q48" s="235">
        <f>ROUND(G48*(1-0.10257103%),2)</f>
        <v>0</v>
      </c>
      <c r="R48" s="399"/>
      <c r="S48" s="399"/>
      <c r="T48" s="235">
        <f>ROUND(H48*(1-5%),2)</f>
        <v>0</v>
      </c>
      <c r="U48" s="379"/>
      <c r="V48" s="379"/>
      <c r="W48" s="235">
        <f>ROUND(I48*(1-0.0030707%),2)</f>
        <v>0</v>
      </c>
      <c r="X48" s="389"/>
      <c r="Y48" s="389"/>
      <c r="Z48" s="235">
        <f>ROUND(J48*(1-5%),2)</f>
        <v>0</v>
      </c>
      <c r="AA48" s="220"/>
      <c r="AB48" s="220"/>
      <c r="AC48" s="235">
        <f>ROUND(K48*(1-1.31%),2)</f>
        <v>0</v>
      </c>
      <c r="AD48" s="521"/>
      <c r="AE48" s="521"/>
      <c r="AF48" s="551"/>
      <c r="AG48" s="551"/>
      <c r="AH48" s="478"/>
      <c r="AI48" s="478"/>
      <c r="AJ48" s="47">
        <f>SUM(E48:K48)-SUM(L48:AI48)</f>
        <v>0</v>
      </c>
    </row>
    <row r="49" spans="1:36" x14ac:dyDescent="0.2">
      <c r="A49" s="93"/>
      <c r="B49" s="94"/>
      <c r="C49" s="95"/>
      <c r="D49" s="73" t="s">
        <v>179</v>
      </c>
      <c r="E49" s="124">
        <f>E39+E43+E48</f>
        <v>2979746.46</v>
      </c>
      <c r="F49" s="124">
        <f t="shared" ref="F49:AJ49" si="29">F39+F43+F48</f>
        <v>0</v>
      </c>
      <c r="G49" s="124">
        <f t="shared" si="29"/>
        <v>0</v>
      </c>
      <c r="H49" s="124">
        <f t="shared" si="29"/>
        <v>14179371</v>
      </c>
      <c r="I49" s="124">
        <f t="shared" si="29"/>
        <v>0</v>
      </c>
      <c r="J49" s="124">
        <f t="shared" si="29"/>
        <v>4000</v>
      </c>
      <c r="K49" s="124">
        <f t="shared" si="29"/>
        <v>0</v>
      </c>
      <c r="L49" s="162">
        <f t="shared" si="29"/>
        <v>0</v>
      </c>
      <c r="M49" s="162">
        <f t="shared" si="29"/>
        <v>0</v>
      </c>
      <c r="N49" s="239">
        <f t="shared" ref="N49" si="30">N39+N43+N48</f>
        <v>0</v>
      </c>
      <c r="O49" s="189">
        <f t="shared" si="29"/>
        <v>392821</v>
      </c>
      <c r="P49" s="189">
        <f t="shared" si="29"/>
        <v>0</v>
      </c>
      <c r="Q49" s="239">
        <f t="shared" si="29"/>
        <v>0</v>
      </c>
      <c r="R49" s="404">
        <f t="shared" si="29"/>
        <v>2457644.2999999998</v>
      </c>
      <c r="S49" s="404">
        <f t="shared" si="29"/>
        <v>0</v>
      </c>
      <c r="T49" s="239">
        <f t="shared" si="29"/>
        <v>13470402.449999999</v>
      </c>
      <c r="U49" s="384">
        <f t="shared" si="29"/>
        <v>370.62</v>
      </c>
      <c r="V49" s="384">
        <f t="shared" si="29"/>
        <v>0</v>
      </c>
      <c r="W49" s="239">
        <f t="shared" si="29"/>
        <v>0</v>
      </c>
      <c r="X49" s="394">
        <f t="shared" si="29"/>
        <v>128910.55</v>
      </c>
      <c r="Y49" s="394">
        <f t="shared" si="29"/>
        <v>0</v>
      </c>
      <c r="Z49" s="239">
        <f t="shared" si="29"/>
        <v>3800</v>
      </c>
      <c r="AA49" s="224">
        <f t="shared" si="29"/>
        <v>0</v>
      </c>
      <c r="AB49" s="224">
        <f t="shared" si="29"/>
        <v>0</v>
      </c>
      <c r="AC49" s="239">
        <f t="shared" si="29"/>
        <v>0</v>
      </c>
      <c r="AD49" s="526">
        <f t="shared" si="29"/>
        <v>0</v>
      </c>
      <c r="AE49" s="526">
        <f t="shared" si="29"/>
        <v>0</v>
      </c>
      <c r="AF49" s="556">
        <f t="shared" si="29"/>
        <v>0</v>
      </c>
      <c r="AG49" s="556">
        <f t="shared" si="29"/>
        <v>0</v>
      </c>
      <c r="AH49" s="484">
        <f t="shared" si="29"/>
        <v>0</v>
      </c>
      <c r="AI49" s="484">
        <f t="shared" si="29"/>
        <v>0</v>
      </c>
      <c r="AJ49" s="125">
        <f t="shared" si="29"/>
        <v>709168.5400000005</v>
      </c>
    </row>
    <row r="50" spans="1:36" x14ac:dyDescent="0.2">
      <c r="A50" s="126"/>
      <c r="B50" s="127"/>
      <c r="C50" s="128"/>
      <c r="D50" s="51" t="s">
        <v>69</v>
      </c>
      <c r="E50" s="129">
        <f>E36+E49+E14</f>
        <v>41148232.93</v>
      </c>
      <c r="F50" s="129">
        <f t="shared" ref="F50:AJ50" si="31">F36+F49+F14</f>
        <v>0</v>
      </c>
      <c r="G50" s="129">
        <f t="shared" si="31"/>
        <v>271215887</v>
      </c>
      <c r="H50" s="129">
        <f t="shared" si="31"/>
        <v>193637944</v>
      </c>
      <c r="I50" s="129">
        <f t="shared" si="31"/>
        <v>4991170.0600000005</v>
      </c>
      <c r="J50" s="129">
        <f t="shared" si="31"/>
        <v>1611385</v>
      </c>
      <c r="K50" s="129">
        <f t="shared" si="31"/>
        <v>0</v>
      </c>
      <c r="L50" s="163">
        <f t="shared" si="31"/>
        <v>0</v>
      </c>
      <c r="M50" s="163">
        <f t="shared" si="31"/>
        <v>0</v>
      </c>
      <c r="N50" s="240">
        <f t="shared" ref="N50" si="32">N36+N49+N14</f>
        <v>0</v>
      </c>
      <c r="O50" s="190">
        <f t="shared" si="31"/>
        <v>344896.23572479282</v>
      </c>
      <c r="P50" s="190">
        <f t="shared" si="31"/>
        <v>0</v>
      </c>
      <c r="Q50" s="240">
        <f t="shared" si="31"/>
        <v>270937698.06999999</v>
      </c>
      <c r="R50" s="405">
        <f t="shared" si="31"/>
        <v>2457644.2999999998</v>
      </c>
      <c r="S50" s="405">
        <f t="shared" si="31"/>
        <v>0</v>
      </c>
      <c r="T50" s="240">
        <f t="shared" si="31"/>
        <v>183956046.79999998</v>
      </c>
      <c r="U50" s="385">
        <f t="shared" si="31"/>
        <v>370.62</v>
      </c>
      <c r="V50" s="385">
        <f t="shared" si="31"/>
        <v>0</v>
      </c>
      <c r="W50" s="240">
        <f t="shared" si="31"/>
        <v>4991016.8</v>
      </c>
      <c r="X50" s="395">
        <f t="shared" si="31"/>
        <v>55822.3</v>
      </c>
      <c r="Y50" s="395">
        <f t="shared" si="31"/>
        <v>0</v>
      </c>
      <c r="Z50" s="240">
        <f t="shared" si="31"/>
        <v>1530815.75</v>
      </c>
      <c r="AA50" s="225">
        <f t="shared" si="31"/>
        <v>0</v>
      </c>
      <c r="AB50" s="225">
        <f t="shared" si="31"/>
        <v>0</v>
      </c>
      <c r="AC50" s="240">
        <f t="shared" si="31"/>
        <v>0</v>
      </c>
      <c r="AD50" s="527">
        <f t="shared" si="31"/>
        <v>0</v>
      </c>
      <c r="AE50" s="527">
        <f t="shared" si="31"/>
        <v>0</v>
      </c>
      <c r="AF50" s="557">
        <f t="shared" si="31"/>
        <v>0</v>
      </c>
      <c r="AG50" s="557">
        <f t="shared" si="31"/>
        <v>0</v>
      </c>
      <c r="AH50" s="485">
        <f t="shared" si="31"/>
        <v>0</v>
      </c>
      <c r="AI50" s="485">
        <f t="shared" si="31"/>
        <v>0</v>
      </c>
      <c r="AJ50" s="130">
        <f t="shared" si="31"/>
        <v>48330308.114275202</v>
      </c>
    </row>
    <row r="51" spans="1:36" x14ac:dyDescent="0.2">
      <c r="A51" s="93"/>
      <c r="B51" s="94"/>
      <c r="C51" s="95"/>
      <c r="D51" s="105"/>
      <c r="E51" s="102"/>
      <c r="F51" s="103"/>
      <c r="G51" s="103"/>
      <c r="H51" s="103"/>
      <c r="I51" s="103"/>
      <c r="J51" s="103"/>
      <c r="K51" s="103"/>
      <c r="L51" s="158"/>
      <c r="M51" s="158"/>
      <c r="N51" s="141"/>
      <c r="O51" s="185"/>
      <c r="P51" s="185"/>
      <c r="Q51" s="141"/>
      <c r="R51" s="401"/>
      <c r="S51" s="401"/>
      <c r="T51" s="141"/>
      <c r="U51" s="381"/>
      <c r="V51" s="381"/>
      <c r="W51" s="141"/>
      <c r="X51" s="391"/>
      <c r="Y51" s="391"/>
      <c r="Z51" s="141"/>
      <c r="AA51" s="220"/>
      <c r="AB51" s="220"/>
      <c r="AC51" s="141"/>
      <c r="AD51" s="523"/>
      <c r="AE51" s="523"/>
      <c r="AF51" s="553"/>
      <c r="AG51" s="553"/>
      <c r="AH51" s="480"/>
      <c r="AI51" s="480"/>
      <c r="AJ51" s="47"/>
    </row>
    <row r="52" spans="1:36" x14ac:dyDescent="0.2">
      <c r="A52" s="93"/>
      <c r="B52" s="94"/>
      <c r="C52" s="95"/>
      <c r="D52" s="101" t="s">
        <v>180</v>
      </c>
      <c r="E52" s="102"/>
      <c r="F52" s="103"/>
      <c r="G52" s="103"/>
      <c r="H52" s="103"/>
      <c r="I52" s="103"/>
      <c r="J52" s="103"/>
      <c r="K52" s="103"/>
      <c r="L52" s="158"/>
      <c r="M52" s="158"/>
      <c r="N52" s="141"/>
      <c r="O52" s="185"/>
      <c r="P52" s="185"/>
      <c r="Q52" s="141"/>
      <c r="R52" s="401"/>
      <c r="S52" s="401"/>
      <c r="T52" s="141"/>
      <c r="U52" s="381"/>
      <c r="V52" s="381"/>
      <c r="W52" s="141"/>
      <c r="X52" s="391"/>
      <c r="Y52" s="391"/>
      <c r="Z52" s="141"/>
      <c r="AA52" s="220"/>
      <c r="AB52" s="220"/>
      <c r="AC52" s="141"/>
      <c r="AD52" s="523"/>
      <c r="AE52" s="523"/>
      <c r="AF52" s="553"/>
      <c r="AG52" s="553"/>
      <c r="AH52" s="480"/>
      <c r="AI52" s="480"/>
      <c r="AJ52" s="47"/>
    </row>
    <row r="53" spans="1:36" x14ac:dyDescent="0.2">
      <c r="A53" s="93" t="s">
        <v>41</v>
      </c>
      <c r="B53" s="94"/>
      <c r="C53" s="123"/>
      <c r="D53" s="104" t="s">
        <v>59</v>
      </c>
      <c r="E53" s="102"/>
      <c r="F53" s="103"/>
      <c r="G53" s="103">
        <v>126469</v>
      </c>
      <c r="H53" s="103">
        <v>16951020</v>
      </c>
      <c r="I53" s="103">
        <v>6845.62</v>
      </c>
      <c r="J53" s="103">
        <v>4071567</v>
      </c>
      <c r="K53" s="103"/>
      <c r="L53" s="158"/>
      <c r="M53" s="158"/>
      <c r="N53" s="235">
        <f>ROUND(F53*(1-8.18%),2)</f>
        <v>0</v>
      </c>
      <c r="O53" s="185"/>
      <c r="P53" s="185"/>
      <c r="Q53" s="235">
        <f>ROUND(G53*(1-0.10257103%),2)</f>
        <v>126339.28</v>
      </c>
      <c r="R53" s="399"/>
      <c r="S53" s="399"/>
      <c r="T53" s="235">
        <f>ROUND(H53*(1-5%),2)</f>
        <v>16103469</v>
      </c>
      <c r="U53" s="379"/>
      <c r="V53" s="379"/>
      <c r="W53" s="235">
        <f>ROUND(I53*(1-0.0030707%),2)</f>
        <v>6845.41</v>
      </c>
      <c r="X53" s="389"/>
      <c r="Y53" s="389"/>
      <c r="Z53" s="235">
        <f>ROUND(J53*(1-5%),2)</f>
        <v>3867988.65</v>
      </c>
      <c r="AA53" s="220"/>
      <c r="AB53" s="220"/>
      <c r="AC53" s="235">
        <f>ROUND(K53*(1-1.31%),2)</f>
        <v>0</v>
      </c>
      <c r="AD53" s="521"/>
      <c r="AE53" s="521"/>
      <c r="AF53" s="551"/>
      <c r="AG53" s="551"/>
      <c r="AH53" s="478"/>
      <c r="AI53" s="478"/>
      <c r="AJ53" s="47">
        <f>SUM(E53:K53)-SUM(L53:AI53)</f>
        <v>1051259.2800000012</v>
      </c>
    </row>
    <row r="54" spans="1:36" x14ac:dyDescent="0.2">
      <c r="A54" s="93"/>
      <c r="B54" s="94"/>
      <c r="C54" s="95"/>
      <c r="D54" s="13" t="s">
        <v>1</v>
      </c>
      <c r="E54" s="131">
        <f>E53</f>
        <v>0</v>
      </c>
      <c r="F54" s="131">
        <f t="shared" ref="F54:AJ54" si="33">F53</f>
        <v>0</v>
      </c>
      <c r="G54" s="131">
        <f t="shared" si="33"/>
        <v>126469</v>
      </c>
      <c r="H54" s="131">
        <f t="shared" si="33"/>
        <v>16951020</v>
      </c>
      <c r="I54" s="131">
        <f t="shared" si="33"/>
        <v>6845.62</v>
      </c>
      <c r="J54" s="131">
        <f t="shared" si="33"/>
        <v>4071567</v>
      </c>
      <c r="K54" s="131">
        <f t="shared" si="33"/>
        <v>0</v>
      </c>
      <c r="L54" s="164">
        <f t="shared" si="33"/>
        <v>0</v>
      </c>
      <c r="M54" s="164">
        <f t="shared" si="33"/>
        <v>0</v>
      </c>
      <c r="N54" s="241">
        <f t="shared" ref="N54" si="34">N53</f>
        <v>0</v>
      </c>
      <c r="O54" s="191">
        <f t="shared" si="33"/>
        <v>0</v>
      </c>
      <c r="P54" s="191">
        <f t="shared" si="33"/>
        <v>0</v>
      </c>
      <c r="Q54" s="241">
        <f t="shared" si="33"/>
        <v>126339.28</v>
      </c>
      <c r="R54" s="406">
        <f t="shared" si="33"/>
        <v>0</v>
      </c>
      <c r="S54" s="406">
        <f t="shared" si="33"/>
        <v>0</v>
      </c>
      <c r="T54" s="241">
        <f t="shared" si="33"/>
        <v>16103469</v>
      </c>
      <c r="U54" s="386">
        <f t="shared" si="33"/>
        <v>0</v>
      </c>
      <c r="V54" s="386">
        <f t="shared" si="33"/>
        <v>0</v>
      </c>
      <c r="W54" s="241">
        <f t="shared" si="33"/>
        <v>6845.41</v>
      </c>
      <c r="X54" s="396">
        <f t="shared" si="33"/>
        <v>0</v>
      </c>
      <c r="Y54" s="396">
        <f t="shared" si="33"/>
        <v>0</v>
      </c>
      <c r="Z54" s="241">
        <f t="shared" si="33"/>
        <v>3867988.65</v>
      </c>
      <c r="AA54" s="226">
        <f t="shared" si="33"/>
        <v>0</v>
      </c>
      <c r="AB54" s="226">
        <f t="shared" si="33"/>
        <v>0</v>
      </c>
      <c r="AC54" s="241">
        <f t="shared" si="33"/>
        <v>0</v>
      </c>
      <c r="AD54" s="528">
        <f t="shared" si="33"/>
        <v>0</v>
      </c>
      <c r="AE54" s="528">
        <f t="shared" si="33"/>
        <v>0</v>
      </c>
      <c r="AF54" s="558">
        <f t="shared" si="33"/>
        <v>0</v>
      </c>
      <c r="AG54" s="558">
        <f t="shared" si="33"/>
        <v>0</v>
      </c>
      <c r="AH54" s="486">
        <f t="shared" si="33"/>
        <v>0</v>
      </c>
      <c r="AI54" s="486">
        <f t="shared" si="33"/>
        <v>0</v>
      </c>
      <c r="AJ54" s="121">
        <f t="shared" si="33"/>
        <v>1051259.2800000012</v>
      </c>
    </row>
    <row r="55" spans="1:36" x14ac:dyDescent="0.2">
      <c r="A55" s="93" t="s">
        <v>42</v>
      </c>
      <c r="B55" s="94"/>
      <c r="C55" s="95"/>
      <c r="D55" s="104" t="s">
        <v>66</v>
      </c>
      <c r="E55" s="102"/>
      <c r="F55" s="103"/>
      <c r="G55" s="103"/>
      <c r="H55" s="103"/>
      <c r="I55" s="103"/>
      <c r="J55" s="103"/>
      <c r="K55" s="103"/>
      <c r="L55" s="158"/>
      <c r="M55" s="158"/>
      <c r="N55" s="141"/>
      <c r="O55" s="185"/>
      <c r="P55" s="185"/>
      <c r="Q55" s="141"/>
      <c r="R55" s="401"/>
      <c r="S55" s="401"/>
      <c r="T55" s="141"/>
      <c r="U55" s="381"/>
      <c r="V55" s="381"/>
      <c r="W55" s="141"/>
      <c r="X55" s="391"/>
      <c r="Y55" s="391"/>
      <c r="Z55" s="141"/>
      <c r="AA55" s="220"/>
      <c r="AB55" s="220"/>
      <c r="AC55" s="141"/>
      <c r="AD55" s="523"/>
      <c r="AE55" s="523"/>
      <c r="AF55" s="553"/>
      <c r="AG55" s="553"/>
      <c r="AH55" s="480"/>
      <c r="AI55" s="480"/>
      <c r="AJ55" s="47"/>
    </row>
    <row r="56" spans="1:36" x14ac:dyDescent="0.2">
      <c r="A56" s="93"/>
      <c r="B56" s="94">
        <v>1</v>
      </c>
      <c r="C56" s="95"/>
      <c r="D56" s="105" t="s">
        <v>106</v>
      </c>
      <c r="E56" s="102">
        <f>SUM(E57:E59)</f>
        <v>1259540.05</v>
      </c>
      <c r="F56" s="103">
        <f t="shared" ref="F56:AJ56" si="35">SUM(F57:F59)</f>
        <v>0</v>
      </c>
      <c r="G56" s="103">
        <f t="shared" si="35"/>
        <v>0</v>
      </c>
      <c r="H56" s="103">
        <f t="shared" si="35"/>
        <v>0</v>
      </c>
      <c r="I56" s="103">
        <f t="shared" si="35"/>
        <v>0</v>
      </c>
      <c r="J56" s="103">
        <f t="shared" si="35"/>
        <v>0</v>
      </c>
      <c r="K56" s="103">
        <f t="shared" si="35"/>
        <v>0</v>
      </c>
      <c r="L56" s="158">
        <f t="shared" si="35"/>
        <v>0</v>
      </c>
      <c r="M56" s="158">
        <f t="shared" si="35"/>
        <v>0</v>
      </c>
      <c r="N56" s="235">
        <f t="shared" ref="N56" si="36">SUM(N57:N59)</f>
        <v>0</v>
      </c>
      <c r="O56" s="185">
        <f t="shared" si="35"/>
        <v>0</v>
      </c>
      <c r="P56" s="185">
        <f t="shared" si="35"/>
        <v>0</v>
      </c>
      <c r="Q56" s="235">
        <f t="shared" si="35"/>
        <v>0</v>
      </c>
      <c r="R56" s="399">
        <f t="shared" si="35"/>
        <v>0</v>
      </c>
      <c r="S56" s="399">
        <f t="shared" si="35"/>
        <v>0</v>
      </c>
      <c r="T56" s="235">
        <f t="shared" si="35"/>
        <v>0</v>
      </c>
      <c r="U56" s="379">
        <f t="shared" si="35"/>
        <v>0</v>
      </c>
      <c r="V56" s="379">
        <f t="shared" si="35"/>
        <v>0</v>
      </c>
      <c r="W56" s="235">
        <f t="shared" si="35"/>
        <v>0</v>
      </c>
      <c r="X56" s="389">
        <f t="shared" si="35"/>
        <v>0</v>
      </c>
      <c r="Y56" s="389">
        <f t="shared" si="35"/>
        <v>0</v>
      </c>
      <c r="Z56" s="235">
        <f t="shared" si="35"/>
        <v>0</v>
      </c>
      <c r="AA56" s="220">
        <f t="shared" si="35"/>
        <v>0</v>
      </c>
      <c r="AB56" s="220">
        <f t="shared" si="35"/>
        <v>0</v>
      </c>
      <c r="AC56" s="235">
        <f t="shared" si="35"/>
        <v>0</v>
      </c>
      <c r="AD56" s="521"/>
      <c r="AE56" s="521"/>
      <c r="AF56" s="551"/>
      <c r="AG56" s="551"/>
      <c r="AH56" s="478"/>
      <c r="AI56" s="478"/>
      <c r="AJ56" s="47">
        <f t="shared" si="35"/>
        <v>1259540.05</v>
      </c>
    </row>
    <row r="57" spans="1:36" x14ac:dyDescent="0.2">
      <c r="A57" s="93"/>
      <c r="B57" s="94"/>
      <c r="C57" s="95" t="s">
        <v>29</v>
      </c>
      <c r="D57" s="122" t="s">
        <v>149</v>
      </c>
      <c r="E57" s="102"/>
      <c r="F57" s="103"/>
      <c r="G57" s="103"/>
      <c r="H57" s="103"/>
      <c r="I57" s="103"/>
      <c r="J57" s="103"/>
      <c r="K57" s="103"/>
      <c r="L57" s="158"/>
      <c r="M57" s="158"/>
      <c r="N57" s="235">
        <f>ROUND(F57*(1-8.18%),2)</f>
        <v>0</v>
      </c>
      <c r="O57" s="185"/>
      <c r="P57" s="185"/>
      <c r="Q57" s="235">
        <f>ROUND(G57*(1-0.10257103%),2)</f>
        <v>0</v>
      </c>
      <c r="R57" s="399"/>
      <c r="S57" s="399"/>
      <c r="T57" s="235">
        <f>ROUND(H57*(1-5%),2)</f>
        <v>0</v>
      </c>
      <c r="U57" s="379"/>
      <c r="V57" s="379"/>
      <c r="W57" s="235">
        <f>ROUND(I57*(1-0.0030707%),2)</f>
        <v>0</v>
      </c>
      <c r="X57" s="389"/>
      <c r="Y57" s="389"/>
      <c r="Z57" s="235">
        <f>ROUND(J57*(1-5%),2)</f>
        <v>0</v>
      </c>
      <c r="AA57" s="220"/>
      <c r="AB57" s="220"/>
      <c r="AC57" s="235">
        <f>ROUND(K57*(1-1.31%),2)</f>
        <v>0</v>
      </c>
      <c r="AD57" s="521"/>
      <c r="AE57" s="521"/>
      <c r="AF57" s="551"/>
      <c r="AG57" s="551"/>
      <c r="AH57" s="478"/>
      <c r="AI57" s="478"/>
      <c r="AJ57" s="47">
        <f>SUM(E57:K57)-SUM(L57:AI57)</f>
        <v>0</v>
      </c>
    </row>
    <row r="58" spans="1:36" x14ac:dyDescent="0.2">
      <c r="A58" s="93"/>
      <c r="B58" s="94"/>
      <c r="C58" s="95" t="s">
        <v>30</v>
      </c>
      <c r="D58" s="122" t="s">
        <v>150</v>
      </c>
      <c r="E58" s="102">
        <v>1259540.05</v>
      </c>
      <c r="F58" s="103"/>
      <c r="G58" s="103"/>
      <c r="H58" s="103"/>
      <c r="I58" s="103"/>
      <c r="J58" s="103"/>
      <c r="K58" s="103"/>
      <c r="L58" s="158"/>
      <c r="M58" s="158"/>
      <c r="N58" s="235">
        <f>ROUND(F58*(1-8.18%),2)</f>
        <v>0</v>
      </c>
      <c r="O58" s="185"/>
      <c r="P58" s="185"/>
      <c r="Q58" s="235">
        <f>ROUND(G58*(1-0.10257103%),2)</f>
        <v>0</v>
      </c>
      <c r="R58" s="399"/>
      <c r="S58" s="399"/>
      <c r="T58" s="235">
        <f>ROUND(H58*(1-5%),2)</f>
        <v>0</v>
      </c>
      <c r="U58" s="379"/>
      <c r="V58" s="379"/>
      <c r="W58" s="235">
        <f>ROUND(I58*(1-0.0030707%),2)</f>
        <v>0</v>
      </c>
      <c r="X58" s="389"/>
      <c r="Y58" s="389"/>
      <c r="Z58" s="235">
        <f>ROUND(J58*(1-5%),2)</f>
        <v>0</v>
      </c>
      <c r="AA58" s="220"/>
      <c r="AB58" s="220"/>
      <c r="AC58" s="235">
        <f>ROUND(K58*(1-1.31%),2)</f>
        <v>0</v>
      </c>
      <c r="AD58" s="521"/>
      <c r="AE58" s="521"/>
      <c r="AF58" s="551"/>
      <c r="AG58" s="551"/>
      <c r="AH58" s="478"/>
      <c r="AI58" s="478"/>
      <c r="AJ58" s="47">
        <f>SUM(E58:K58)-SUM(L58:AI58)</f>
        <v>1259540.05</v>
      </c>
    </row>
    <row r="59" spans="1:36" x14ac:dyDescent="0.2">
      <c r="A59" s="93"/>
      <c r="B59" s="94"/>
      <c r="C59" s="95" t="s">
        <v>31</v>
      </c>
      <c r="D59" s="122" t="s">
        <v>141</v>
      </c>
      <c r="E59" s="102"/>
      <c r="F59" s="103"/>
      <c r="G59" s="103"/>
      <c r="H59" s="103"/>
      <c r="I59" s="103"/>
      <c r="J59" s="103"/>
      <c r="K59" s="103"/>
      <c r="L59" s="158"/>
      <c r="M59" s="158"/>
      <c r="N59" s="235">
        <f>ROUND(F59*(1-8.18%),2)</f>
        <v>0</v>
      </c>
      <c r="O59" s="185"/>
      <c r="P59" s="185"/>
      <c r="Q59" s="235">
        <f>ROUND(G59*(1-0.10257103%),2)</f>
        <v>0</v>
      </c>
      <c r="R59" s="399"/>
      <c r="S59" s="399"/>
      <c r="T59" s="235">
        <f>ROUND(H59*(1-5%),2)</f>
        <v>0</v>
      </c>
      <c r="U59" s="379"/>
      <c r="V59" s="379"/>
      <c r="W59" s="235">
        <f>ROUND(I59*(1-0.0030707%),2)</f>
        <v>0</v>
      </c>
      <c r="X59" s="389"/>
      <c r="Y59" s="389"/>
      <c r="Z59" s="235">
        <f>ROUND(J59*(1-5%),2)</f>
        <v>0</v>
      </c>
      <c r="AA59" s="220"/>
      <c r="AB59" s="220"/>
      <c r="AC59" s="235">
        <f>ROUND(K59*(1-1.31%),2)</f>
        <v>0</v>
      </c>
      <c r="AD59" s="521"/>
      <c r="AE59" s="521"/>
      <c r="AF59" s="551"/>
      <c r="AG59" s="551"/>
      <c r="AH59" s="478"/>
      <c r="AI59" s="478"/>
      <c r="AJ59" s="47">
        <f>SUM(E59:K59)-SUM(L59:AI59)</f>
        <v>0</v>
      </c>
    </row>
    <row r="60" spans="1:36" x14ac:dyDescent="0.2">
      <c r="A60" s="93"/>
      <c r="B60" s="94">
        <v>2</v>
      </c>
      <c r="C60" s="95"/>
      <c r="D60" s="105" t="s">
        <v>142</v>
      </c>
      <c r="E60" s="102">
        <f>SUM(E61:E64)</f>
        <v>2200831.25</v>
      </c>
      <c r="F60" s="102">
        <f t="shared" ref="F60:AJ60" si="37">SUM(F61:F64)</f>
        <v>0</v>
      </c>
      <c r="G60" s="102">
        <f t="shared" si="37"/>
        <v>0</v>
      </c>
      <c r="H60" s="102">
        <f t="shared" si="37"/>
        <v>55287457</v>
      </c>
      <c r="I60" s="102">
        <f t="shared" si="37"/>
        <v>50250197.009999998</v>
      </c>
      <c r="J60" s="102">
        <f t="shared" si="37"/>
        <v>37361997</v>
      </c>
      <c r="K60" s="102">
        <f t="shared" si="37"/>
        <v>0</v>
      </c>
      <c r="L60" s="160">
        <f t="shared" si="37"/>
        <v>0</v>
      </c>
      <c r="M60" s="160">
        <f t="shared" si="37"/>
        <v>0</v>
      </c>
      <c r="N60" s="235">
        <f t="shared" ref="N60" si="38">SUM(N61:N64)</f>
        <v>0</v>
      </c>
      <c r="O60" s="185">
        <f t="shared" si="37"/>
        <v>0</v>
      </c>
      <c r="P60" s="185">
        <f t="shared" si="37"/>
        <v>0</v>
      </c>
      <c r="Q60" s="235">
        <f t="shared" si="37"/>
        <v>0</v>
      </c>
      <c r="R60" s="399">
        <f t="shared" si="37"/>
        <v>0</v>
      </c>
      <c r="S60" s="399">
        <f t="shared" si="37"/>
        <v>0</v>
      </c>
      <c r="T60" s="235">
        <f t="shared" si="37"/>
        <v>52523084.149999999</v>
      </c>
      <c r="U60" s="379">
        <f t="shared" si="37"/>
        <v>0</v>
      </c>
      <c r="V60" s="379">
        <f t="shared" si="37"/>
        <v>0</v>
      </c>
      <c r="W60" s="235">
        <f t="shared" si="37"/>
        <v>50248653.979999997</v>
      </c>
      <c r="X60" s="389">
        <f t="shared" si="37"/>
        <v>0</v>
      </c>
      <c r="Y60" s="389">
        <f t="shared" si="37"/>
        <v>0</v>
      </c>
      <c r="Z60" s="235">
        <f t="shared" si="37"/>
        <v>35493897.149999999</v>
      </c>
      <c r="AA60" s="220">
        <f t="shared" si="37"/>
        <v>0</v>
      </c>
      <c r="AB60" s="220">
        <f t="shared" si="37"/>
        <v>0</v>
      </c>
      <c r="AC60" s="235">
        <f t="shared" si="37"/>
        <v>0</v>
      </c>
      <c r="AD60" s="521"/>
      <c r="AE60" s="521"/>
      <c r="AF60" s="551"/>
      <c r="AG60" s="551"/>
      <c r="AH60" s="478">
        <f t="shared" si="37"/>
        <v>0</v>
      </c>
      <c r="AI60" s="478">
        <f t="shared" si="37"/>
        <v>0</v>
      </c>
      <c r="AJ60" s="47">
        <f t="shared" si="37"/>
        <v>6834846.9799999949</v>
      </c>
    </row>
    <row r="61" spans="1:36" x14ac:dyDescent="0.2">
      <c r="A61" s="93"/>
      <c r="B61" s="94"/>
      <c r="C61" s="95" t="s">
        <v>29</v>
      </c>
      <c r="D61" s="122" t="s">
        <v>97</v>
      </c>
      <c r="E61" s="102">
        <v>2200831.25</v>
      </c>
      <c r="F61" s="103"/>
      <c r="G61" s="103"/>
      <c r="H61" s="103"/>
      <c r="I61" s="103">
        <v>50250197.009999998</v>
      </c>
      <c r="J61" s="103"/>
      <c r="K61" s="103"/>
      <c r="L61" s="158"/>
      <c r="M61" s="158"/>
      <c r="N61" s="235">
        <f>ROUND(F61*(1-8.18%),2)</f>
        <v>0</v>
      </c>
      <c r="O61" s="185"/>
      <c r="P61" s="185"/>
      <c r="Q61" s="235">
        <f>ROUND(G61*(1-0.10257103%),2)</f>
        <v>0</v>
      </c>
      <c r="R61" s="399"/>
      <c r="S61" s="399"/>
      <c r="T61" s="235">
        <f>ROUND(H61*(1-5%),2)</f>
        <v>0</v>
      </c>
      <c r="U61" s="379"/>
      <c r="V61" s="379"/>
      <c r="W61" s="235">
        <f>ROUND(I61*(1-0.0030707%),2)</f>
        <v>50248653.979999997</v>
      </c>
      <c r="X61" s="389"/>
      <c r="Y61" s="389"/>
      <c r="Z61" s="235">
        <f>ROUND(J61*(1-5%),2)</f>
        <v>0</v>
      </c>
      <c r="AA61" s="220"/>
      <c r="AB61" s="220"/>
      <c r="AC61" s="235">
        <f>ROUND(K61*(1-1.31%),2)</f>
        <v>0</v>
      </c>
      <c r="AD61" s="521"/>
      <c r="AE61" s="521"/>
      <c r="AF61" s="551"/>
      <c r="AG61" s="551"/>
      <c r="AH61" s="478"/>
      <c r="AI61" s="478"/>
      <c r="AJ61" s="47">
        <f>SUM(E61:K61)-SUM(L61:AI61)</f>
        <v>2202374.2800000012</v>
      </c>
    </row>
    <row r="62" spans="1:36" x14ac:dyDescent="0.2">
      <c r="A62" s="93"/>
      <c r="B62" s="94"/>
      <c r="C62" s="95" t="s">
        <v>30</v>
      </c>
      <c r="D62" s="122" t="s">
        <v>88</v>
      </c>
      <c r="E62" s="102"/>
      <c r="F62" s="103"/>
      <c r="G62" s="103"/>
      <c r="H62" s="103">
        <v>55285000</v>
      </c>
      <c r="I62" s="103"/>
      <c r="J62" s="103">
        <v>37361997</v>
      </c>
      <c r="K62" s="103"/>
      <c r="L62" s="158"/>
      <c r="M62" s="158"/>
      <c r="N62" s="235">
        <f>ROUND(F62*(1-8.18%),2)</f>
        <v>0</v>
      </c>
      <c r="O62" s="185"/>
      <c r="P62" s="185"/>
      <c r="Q62" s="235">
        <f>ROUND(G62*(1-0.10257103%),2)</f>
        <v>0</v>
      </c>
      <c r="R62" s="399"/>
      <c r="S62" s="399"/>
      <c r="T62" s="235">
        <f>ROUND(H62*(1-5%),2)</f>
        <v>52520750</v>
      </c>
      <c r="U62" s="379"/>
      <c r="V62" s="379"/>
      <c r="W62" s="235">
        <f>ROUND(I62*(1-0.0030707%),2)</f>
        <v>0</v>
      </c>
      <c r="X62" s="389"/>
      <c r="Y62" s="389"/>
      <c r="Z62" s="235">
        <f>ROUND(J62*(1-5%),2)</f>
        <v>35493897.149999999</v>
      </c>
      <c r="AA62" s="220"/>
      <c r="AB62" s="220"/>
      <c r="AC62" s="235">
        <f>ROUND(K62*(1-1.31%),2)</f>
        <v>0</v>
      </c>
      <c r="AD62" s="521"/>
      <c r="AE62" s="521"/>
      <c r="AF62" s="551"/>
      <c r="AG62" s="551"/>
      <c r="AH62" s="478"/>
      <c r="AI62" s="478"/>
      <c r="AJ62" s="47">
        <f>SUM(E62:K62)-SUM(L62:AI62)</f>
        <v>4632349.849999994</v>
      </c>
    </row>
    <row r="63" spans="1:36" x14ac:dyDescent="0.2">
      <c r="A63" s="93"/>
      <c r="B63" s="94"/>
      <c r="C63" s="95" t="s">
        <v>31</v>
      </c>
      <c r="D63" s="50" t="s">
        <v>104</v>
      </c>
      <c r="E63" s="102"/>
      <c r="F63" s="103"/>
      <c r="G63" s="103"/>
      <c r="H63" s="103">
        <v>2457</v>
      </c>
      <c r="I63" s="103"/>
      <c r="J63" s="103"/>
      <c r="K63" s="103"/>
      <c r="L63" s="158"/>
      <c r="M63" s="158"/>
      <c r="N63" s="235">
        <f>ROUND(F63*(1-8.18%),2)</f>
        <v>0</v>
      </c>
      <c r="O63" s="185"/>
      <c r="P63" s="185"/>
      <c r="Q63" s="235">
        <f>ROUND(G63*(1-0.10257103%),2)</f>
        <v>0</v>
      </c>
      <c r="R63" s="399"/>
      <c r="S63" s="399"/>
      <c r="T63" s="235">
        <f>ROUND(H63*(1-5%),2)</f>
        <v>2334.15</v>
      </c>
      <c r="U63" s="379"/>
      <c r="V63" s="379"/>
      <c r="W63" s="235">
        <f>ROUND(I63*(1-0.0030707%),2)</f>
        <v>0</v>
      </c>
      <c r="X63" s="389"/>
      <c r="Y63" s="389"/>
      <c r="Z63" s="235">
        <f>ROUND(J63*(1-5%),2)</f>
        <v>0</v>
      </c>
      <c r="AA63" s="220"/>
      <c r="AB63" s="220"/>
      <c r="AC63" s="235">
        <f>ROUND(K63*(1-1.31%),2)</f>
        <v>0</v>
      </c>
      <c r="AD63" s="521"/>
      <c r="AE63" s="521"/>
      <c r="AF63" s="551"/>
      <c r="AG63" s="551"/>
      <c r="AH63" s="478"/>
      <c r="AI63" s="478"/>
      <c r="AJ63" s="47">
        <f>SUM(E63:K63)-SUM(L63:AI63)</f>
        <v>122.84999999999991</v>
      </c>
    </row>
    <row r="64" spans="1:36" x14ac:dyDescent="0.2">
      <c r="A64" s="93"/>
      <c r="B64" s="94"/>
      <c r="C64" s="95" t="s">
        <v>32</v>
      </c>
      <c r="D64" s="122" t="s">
        <v>107</v>
      </c>
      <c r="E64" s="102"/>
      <c r="F64" s="103"/>
      <c r="G64" s="103"/>
      <c r="H64" s="103"/>
      <c r="I64" s="103"/>
      <c r="J64" s="103"/>
      <c r="K64" s="103"/>
      <c r="L64" s="158"/>
      <c r="M64" s="158"/>
      <c r="N64" s="235">
        <f>ROUND(F64*(1-8.18%),2)</f>
        <v>0</v>
      </c>
      <c r="O64" s="185"/>
      <c r="P64" s="185"/>
      <c r="Q64" s="235">
        <f>ROUND(G64*(1-0.10257103%),2)</f>
        <v>0</v>
      </c>
      <c r="R64" s="399"/>
      <c r="S64" s="399"/>
      <c r="T64" s="235">
        <f>ROUND(H64*(1-5%),2)</f>
        <v>0</v>
      </c>
      <c r="U64" s="379"/>
      <c r="V64" s="379"/>
      <c r="W64" s="235">
        <f>ROUND(I64*(1-0.0030707%),2)</f>
        <v>0</v>
      </c>
      <c r="X64" s="389"/>
      <c r="Y64" s="389"/>
      <c r="Z64" s="235">
        <f>ROUND(J64*(1-5%),2)</f>
        <v>0</v>
      </c>
      <c r="AA64" s="220"/>
      <c r="AB64" s="220"/>
      <c r="AC64" s="235">
        <f>ROUND(K64*(1-1.31%),2)</f>
        <v>0</v>
      </c>
      <c r="AD64" s="521"/>
      <c r="AE64" s="521"/>
      <c r="AF64" s="551"/>
      <c r="AG64" s="551"/>
      <c r="AH64" s="478"/>
      <c r="AI64" s="478"/>
      <c r="AJ64" s="47">
        <f>SUM(E64:K64)-SUM(L64:AI64)</f>
        <v>0</v>
      </c>
    </row>
    <row r="65" spans="1:36" x14ac:dyDescent="0.2">
      <c r="A65" s="93"/>
      <c r="B65" s="94">
        <v>3</v>
      </c>
      <c r="C65" s="95"/>
      <c r="D65" s="105" t="s">
        <v>78</v>
      </c>
      <c r="E65" s="102">
        <v>9547.17</v>
      </c>
      <c r="F65" s="103"/>
      <c r="G65" s="103">
        <v>612029054</v>
      </c>
      <c r="H65" s="103">
        <v>11789240</v>
      </c>
      <c r="I65" s="103"/>
      <c r="J65" s="103">
        <v>21261531</v>
      </c>
      <c r="K65" s="103"/>
      <c r="L65" s="158"/>
      <c r="M65" s="158"/>
      <c r="N65" s="235">
        <f>ROUND(F65*(1-8.18%),2)</f>
        <v>0</v>
      </c>
      <c r="O65" s="185"/>
      <c r="P65" s="185">
        <f>(315568.26+50424.64)*0.10257103%</f>
        <v>375.40268725686997</v>
      </c>
      <c r="Q65" s="235">
        <f>ROUND(G65*(1-0.10257103%),2)</f>
        <v>611401289.5</v>
      </c>
      <c r="R65" s="399"/>
      <c r="S65" s="399"/>
      <c r="T65" s="235">
        <f>ROUND(H65*(1-5%),2)</f>
        <v>11199778</v>
      </c>
      <c r="U65" s="379"/>
      <c r="V65" s="379"/>
      <c r="W65" s="235">
        <f>ROUND(I65*(1-0.0030707%),2)</f>
        <v>0</v>
      </c>
      <c r="X65" s="389"/>
      <c r="Y65" s="389">
        <f>59569.87*5%</f>
        <v>2978.4935000000005</v>
      </c>
      <c r="Z65" s="235">
        <f>ROUND(J65*(1-5%),2)</f>
        <v>20198454.449999999</v>
      </c>
      <c r="AA65" s="220"/>
      <c r="AB65" s="220"/>
      <c r="AC65" s="235">
        <f>ROUND(K65*(1-1.31%),2)</f>
        <v>0</v>
      </c>
      <c r="AD65" s="521"/>
      <c r="AE65" s="521"/>
      <c r="AF65" s="551"/>
      <c r="AG65" s="551"/>
      <c r="AH65" s="478"/>
      <c r="AI65" s="478"/>
      <c r="AJ65" s="47">
        <f>SUM(E65:K65)-SUM(L65:AI65)</f>
        <v>2286496.323812604</v>
      </c>
    </row>
    <row r="66" spans="1:36" x14ac:dyDescent="0.2">
      <c r="A66" s="93"/>
      <c r="B66" s="94">
        <v>4</v>
      </c>
      <c r="C66" s="95"/>
      <c r="D66" s="12" t="s">
        <v>155</v>
      </c>
      <c r="E66" s="102">
        <f>SUM(E67:E69)</f>
        <v>84014.95</v>
      </c>
      <c r="F66" s="102">
        <f>SUM(F67:F69)</f>
        <v>0</v>
      </c>
      <c r="G66" s="102">
        <f t="shared" ref="G66:AJ66" si="39">SUM(G67:G69)</f>
        <v>62066264</v>
      </c>
      <c r="H66" s="102">
        <f t="shared" si="39"/>
        <v>841682</v>
      </c>
      <c r="I66" s="102">
        <f t="shared" si="39"/>
        <v>98799.67</v>
      </c>
      <c r="J66" s="103">
        <f t="shared" si="39"/>
        <v>8559465</v>
      </c>
      <c r="K66" s="103"/>
      <c r="L66" s="158">
        <f t="shared" si="39"/>
        <v>0</v>
      </c>
      <c r="M66" s="158">
        <f t="shared" si="39"/>
        <v>0</v>
      </c>
      <c r="N66" s="235">
        <f t="shared" ref="N66" si="40">SUM(N67:N69)</f>
        <v>0</v>
      </c>
      <c r="O66" s="185">
        <f t="shared" si="39"/>
        <v>0</v>
      </c>
      <c r="P66" s="185">
        <f t="shared" si="39"/>
        <v>0</v>
      </c>
      <c r="Q66" s="235">
        <f t="shared" si="39"/>
        <v>62002601.990000002</v>
      </c>
      <c r="R66" s="399">
        <f t="shared" si="39"/>
        <v>0</v>
      </c>
      <c r="S66" s="399">
        <f t="shared" si="39"/>
        <v>0</v>
      </c>
      <c r="T66" s="235">
        <f t="shared" si="39"/>
        <v>799597.9</v>
      </c>
      <c r="U66" s="379">
        <f t="shared" si="39"/>
        <v>0</v>
      </c>
      <c r="V66" s="379">
        <f t="shared" si="39"/>
        <v>0</v>
      </c>
      <c r="W66" s="235">
        <f t="shared" si="39"/>
        <v>98796.64</v>
      </c>
      <c r="X66" s="389">
        <f t="shared" si="39"/>
        <v>0</v>
      </c>
      <c r="Y66" s="389">
        <f t="shared" si="39"/>
        <v>0</v>
      </c>
      <c r="Z66" s="235">
        <f t="shared" si="39"/>
        <v>8131491.75</v>
      </c>
      <c r="AA66" s="220">
        <f t="shared" si="39"/>
        <v>0</v>
      </c>
      <c r="AB66" s="220">
        <f t="shared" si="39"/>
        <v>0</v>
      </c>
      <c r="AC66" s="235">
        <f t="shared" si="39"/>
        <v>0</v>
      </c>
      <c r="AD66" s="521"/>
      <c r="AE66" s="521"/>
      <c r="AF66" s="551"/>
      <c r="AG66" s="551"/>
      <c r="AH66" s="478">
        <f t="shared" si="39"/>
        <v>0</v>
      </c>
      <c r="AI66" s="478">
        <f t="shared" si="39"/>
        <v>0</v>
      </c>
      <c r="AJ66" s="47">
        <f t="shared" si="39"/>
        <v>617737.34000000148</v>
      </c>
    </row>
    <row r="67" spans="1:36" x14ac:dyDescent="0.2">
      <c r="A67" s="93"/>
      <c r="B67" s="94"/>
      <c r="C67" s="95" t="s">
        <v>29</v>
      </c>
      <c r="D67" s="122" t="s">
        <v>143</v>
      </c>
      <c r="E67" s="102">
        <v>44829</v>
      </c>
      <c r="F67" s="103"/>
      <c r="G67" s="103">
        <v>56326691</v>
      </c>
      <c r="H67" s="103">
        <v>662517</v>
      </c>
      <c r="I67" s="103"/>
      <c r="J67" s="103">
        <v>2842612</v>
      </c>
      <c r="K67" s="103"/>
      <c r="L67" s="158"/>
      <c r="M67" s="158"/>
      <c r="N67" s="235">
        <f>ROUND(F67*(1-8.18%),2)</f>
        <v>0</v>
      </c>
      <c r="O67" s="185"/>
      <c r="P67" s="185"/>
      <c r="Q67" s="235">
        <f>ROUND(G67*(1-0.10257103%),2)</f>
        <v>56268916.130000003</v>
      </c>
      <c r="R67" s="399"/>
      <c r="S67" s="399"/>
      <c r="T67" s="235">
        <f>ROUND(H67*(1-5%),2)</f>
        <v>629391.15</v>
      </c>
      <c r="U67" s="379"/>
      <c r="V67" s="379"/>
      <c r="W67" s="235">
        <f>ROUND(I67*(1-0.0030707%),2)</f>
        <v>0</v>
      </c>
      <c r="X67" s="389"/>
      <c r="Y67" s="389"/>
      <c r="Z67" s="235">
        <f>ROUND(J67*(1-5%),2)</f>
        <v>2700481.4</v>
      </c>
      <c r="AA67" s="220"/>
      <c r="AB67" s="220"/>
      <c r="AC67" s="235">
        <f>ROUND(K67*(1-1.31%),2)</f>
        <v>0</v>
      </c>
      <c r="AD67" s="521"/>
      <c r="AE67" s="521"/>
      <c r="AF67" s="551"/>
      <c r="AG67" s="551"/>
      <c r="AH67" s="478"/>
      <c r="AI67" s="478"/>
      <c r="AJ67" s="47">
        <f>SUM(E67:K67)-SUM(L67:AI67)</f>
        <v>277860.3200000003</v>
      </c>
    </row>
    <row r="68" spans="1:36" x14ac:dyDescent="0.2">
      <c r="A68" s="93"/>
      <c r="B68" s="94"/>
      <c r="C68" s="95" t="s">
        <v>30</v>
      </c>
      <c r="D68" s="122" t="s">
        <v>144</v>
      </c>
      <c r="E68" s="102"/>
      <c r="F68" s="103"/>
      <c r="G68" s="103">
        <v>1415107</v>
      </c>
      <c r="H68" s="103"/>
      <c r="I68" s="103"/>
      <c r="J68" s="103"/>
      <c r="K68" s="103"/>
      <c r="L68" s="158"/>
      <c r="M68" s="158"/>
      <c r="N68" s="235">
        <f>ROUND(F68*(1-8.18%),2)</f>
        <v>0</v>
      </c>
      <c r="O68" s="185"/>
      <c r="P68" s="185"/>
      <c r="Q68" s="235">
        <f>ROUND(G68*(1-0.10257103%),2)</f>
        <v>1413655.51</v>
      </c>
      <c r="R68" s="399"/>
      <c r="S68" s="399"/>
      <c r="T68" s="235">
        <f>ROUND(H68*(1-5%),2)</f>
        <v>0</v>
      </c>
      <c r="U68" s="379"/>
      <c r="V68" s="379"/>
      <c r="W68" s="235">
        <f>ROUND(I68*(1-0.0030707%),2)</f>
        <v>0</v>
      </c>
      <c r="X68" s="389"/>
      <c r="Y68" s="389"/>
      <c r="Z68" s="235">
        <f>ROUND(J68*(1-5%),2)</f>
        <v>0</v>
      </c>
      <c r="AA68" s="220"/>
      <c r="AB68" s="220"/>
      <c r="AC68" s="235">
        <f>ROUND(K68*(1-1.31%),2)</f>
        <v>0</v>
      </c>
      <c r="AD68" s="521"/>
      <c r="AE68" s="521"/>
      <c r="AF68" s="551"/>
      <c r="AG68" s="551"/>
      <c r="AH68" s="478"/>
      <c r="AI68" s="478"/>
      <c r="AJ68" s="47">
        <f>SUM(E68:K68)-SUM(L68:AI68)</f>
        <v>1451.4899999999907</v>
      </c>
    </row>
    <row r="69" spans="1:36" x14ac:dyDescent="0.2">
      <c r="A69" s="93"/>
      <c r="B69" s="94"/>
      <c r="C69" s="95" t="s">
        <v>31</v>
      </c>
      <c r="D69" s="50" t="s">
        <v>62</v>
      </c>
      <c r="E69" s="102">
        <v>39185.949999999997</v>
      </c>
      <c r="F69" s="103"/>
      <c r="G69" s="103">
        <v>4324466</v>
      </c>
      <c r="H69" s="103">
        <v>179165</v>
      </c>
      <c r="I69" s="103">
        <v>98799.67</v>
      </c>
      <c r="J69" s="103">
        <v>5716853</v>
      </c>
      <c r="K69" s="103"/>
      <c r="L69" s="158"/>
      <c r="M69" s="158"/>
      <c r="N69" s="235">
        <f>ROUND(F69*(1-8.18%),2)</f>
        <v>0</v>
      </c>
      <c r="O69" s="185"/>
      <c r="P69" s="185"/>
      <c r="Q69" s="235">
        <f>ROUND(G69*(1-0.10257103%),2)</f>
        <v>4320030.3499999996</v>
      </c>
      <c r="R69" s="399"/>
      <c r="S69" s="399"/>
      <c r="T69" s="235">
        <f>ROUND(H69*(1-5%),2)</f>
        <v>170206.75</v>
      </c>
      <c r="U69" s="379"/>
      <c r="V69" s="379"/>
      <c r="W69" s="235">
        <f>ROUND(I69*(1-0.0030707%),2)</f>
        <v>98796.64</v>
      </c>
      <c r="X69" s="389"/>
      <c r="Y69" s="389"/>
      <c r="Z69" s="235">
        <f>ROUND(J69*(1-5%),2)</f>
        <v>5431010.3499999996</v>
      </c>
      <c r="AA69" s="220"/>
      <c r="AB69" s="220"/>
      <c r="AC69" s="235">
        <f>ROUND(K69*(1-1.31%),2)</f>
        <v>0</v>
      </c>
      <c r="AD69" s="521"/>
      <c r="AE69" s="521"/>
      <c r="AF69" s="551"/>
      <c r="AG69" s="551"/>
      <c r="AH69" s="478"/>
      <c r="AI69" s="478"/>
      <c r="AJ69" s="47">
        <f>SUM(E69:K69)-SUM(L69:AI69)</f>
        <v>338425.53000000119</v>
      </c>
    </row>
    <row r="70" spans="1:36" x14ac:dyDescent="0.2">
      <c r="A70" s="93"/>
      <c r="B70" s="94"/>
      <c r="C70" s="95"/>
      <c r="D70" s="73" t="s">
        <v>181</v>
      </c>
      <c r="E70" s="131">
        <f>E56+E60+E65+E66</f>
        <v>3553933.42</v>
      </c>
      <c r="F70" s="131">
        <f t="shared" ref="F70:AJ70" si="41">F56+F60+F65+F66</f>
        <v>0</v>
      </c>
      <c r="G70" s="131">
        <f t="shared" si="41"/>
        <v>674095318</v>
      </c>
      <c r="H70" s="131">
        <f t="shared" si="41"/>
        <v>67918379</v>
      </c>
      <c r="I70" s="131">
        <f t="shared" si="41"/>
        <v>50348996.68</v>
      </c>
      <c r="J70" s="131">
        <f t="shared" si="41"/>
        <v>67182993</v>
      </c>
      <c r="K70" s="131">
        <f t="shared" si="41"/>
        <v>0</v>
      </c>
      <c r="L70" s="164">
        <f t="shared" si="41"/>
        <v>0</v>
      </c>
      <c r="M70" s="164">
        <f t="shared" si="41"/>
        <v>0</v>
      </c>
      <c r="N70" s="241">
        <f t="shared" ref="N70" si="42">N56+N60+N65+N66</f>
        <v>0</v>
      </c>
      <c r="O70" s="191">
        <f t="shared" si="41"/>
        <v>0</v>
      </c>
      <c r="P70" s="191">
        <f t="shared" si="41"/>
        <v>375.40268725686997</v>
      </c>
      <c r="Q70" s="241">
        <f t="shared" si="41"/>
        <v>673403891.49000001</v>
      </c>
      <c r="R70" s="406">
        <f t="shared" si="41"/>
        <v>0</v>
      </c>
      <c r="S70" s="406">
        <f t="shared" si="41"/>
        <v>0</v>
      </c>
      <c r="T70" s="241">
        <f t="shared" si="41"/>
        <v>64522460.049999997</v>
      </c>
      <c r="U70" s="386">
        <f t="shared" si="41"/>
        <v>0</v>
      </c>
      <c r="V70" s="386">
        <f t="shared" si="41"/>
        <v>0</v>
      </c>
      <c r="W70" s="241">
        <f t="shared" si="41"/>
        <v>50347450.619999997</v>
      </c>
      <c r="X70" s="396">
        <f t="shared" si="41"/>
        <v>0</v>
      </c>
      <c r="Y70" s="396">
        <f t="shared" si="41"/>
        <v>2978.4935000000005</v>
      </c>
      <c r="Z70" s="241">
        <f t="shared" si="41"/>
        <v>63823843.349999994</v>
      </c>
      <c r="AA70" s="226">
        <f t="shared" si="41"/>
        <v>0</v>
      </c>
      <c r="AB70" s="226">
        <f t="shared" si="41"/>
        <v>0</v>
      </c>
      <c r="AC70" s="241">
        <f t="shared" si="41"/>
        <v>0</v>
      </c>
      <c r="AD70" s="528">
        <f t="shared" si="41"/>
        <v>0</v>
      </c>
      <c r="AE70" s="528">
        <f t="shared" si="41"/>
        <v>0</v>
      </c>
      <c r="AF70" s="558">
        <f t="shared" si="41"/>
        <v>0</v>
      </c>
      <c r="AG70" s="558">
        <f t="shared" si="41"/>
        <v>0</v>
      </c>
      <c r="AH70" s="486">
        <f t="shared" si="41"/>
        <v>0</v>
      </c>
      <c r="AI70" s="486">
        <f t="shared" si="41"/>
        <v>0</v>
      </c>
      <c r="AJ70" s="121">
        <f t="shared" si="41"/>
        <v>10998620.693812599</v>
      </c>
    </row>
    <row r="71" spans="1:36" x14ac:dyDescent="0.2">
      <c r="A71" s="93"/>
      <c r="B71" s="94"/>
      <c r="C71" s="95"/>
      <c r="D71" s="13"/>
      <c r="E71" s="102"/>
      <c r="F71" s="103"/>
      <c r="G71" s="103"/>
      <c r="H71" s="103"/>
      <c r="I71" s="103"/>
      <c r="J71" s="103"/>
      <c r="K71" s="103"/>
      <c r="L71" s="158"/>
      <c r="M71" s="158"/>
      <c r="N71" s="141"/>
      <c r="O71" s="185"/>
      <c r="P71" s="185"/>
      <c r="Q71" s="141"/>
      <c r="R71" s="401"/>
      <c r="S71" s="401"/>
      <c r="T71" s="141"/>
      <c r="U71" s="381"/>
      <c r="V71" s="381"/>
      <c r="W71" s="141"/>
      <c r="X71" s="391"/>
      <c r="Y71" s="391"/>
      <c r="Z71" s="141"/>
      <c r="AA71" s="220"/>
      <c r="AB71" s="220"/>
      <c r="AC71" s="141"/>
      <c r="AD71" s="523"/>
      <c r="AE71" s="523"/>
      <c r="AF71" s="553"/>
      <c r="AG71" s="553"/>
      <c r="AH71" s="480"/>
      <c r="AI71" s="480"/>
      <c r="AJ71" s="47"/>
    </row>
    <row r="72" spans="1:36" x14ac:dyDescent="0.2">
      <c r="A72" s="93" t="s">
        <v>44</v>
      </c>
      <c r="B72" s="94"/>
      <c r="C72" s="95"/>
      <c r="D72" s="49" t="s">
        <v>60</v>
      </c>
      <c r="E72" s="102"/>
      <c r="F72" s="103"/>
      <c r="G72" s="103"/>
      <c r="H72" s="103"/>
      <c r="I72" s="103"/>
      <c r="J72" s="103"/>
      <c r="K72" s="103"/>
      <c r="L72" s="158"/>
      <c r="M72" s="158"/>
      <c r="N72" s="141"/>
      <c r="O72" s="185"/>
      <c r="P72" s="185"/>
      <c r="Q72" s="141"/>
      <c r="R72" s="401"/>
      <c r="S72" s="401"/>
      <c r="T72" s="141"/>
      <c r="U72" s="381"/>
      <c r="V72" s="381"/>
      <c r="W72" s="141"/>
      <c r="X72" s="391"/>
      <c r="Y72" s="391"/>
      <c r="Z72" s="141"/>
      <c r="AA72" s="220"/>
      <c r="AB72" s="220"/>
      <c r="AC72" s="141"/>
      <c r="AD72" s="523"/>
      <c r="AE72" s="523"/>
      <c r="AF72" s="553"/>
      <c r="AG72" s="553"/>
      <c r="AH72" s="480"/>
      <c r="AI72" s="480"/>
      <c r="AJ72" s="47"/>
    </row>
    <row r="73" spans="1:36" x14ac:dyDescent="0.2">
      <c r="A73" s="93"/>
      <c r="B73" s="94">
        <v>1</v>
      </c>
      <c r="C73" s="95"/>
      <c r="D73" s="105" t="s">
        <v>79</v>
      </c>
      <c r="E73" s="102"/>
      <c r="F73" s="103"/>
      <c r="G73" s="103"/>
      <c r="H73" s="103"/>
      <c r="I73" s="103"/>
      <c r="J73" s="103"/>
      <c r="K73" s="103"/>
      <c r="L73" s="158"/>
      <c r="M73" s="158"/>
      <c r="N73" s="235">
        <f>ROUND(F73*(1-8.18%),2)</f>
        <v>0</v>
      </c>
      <c r="O73" s="185"/>
      <c r="P73" s="185"/>
      <c r="Q73" s="235">
        <f>ROUND(G73*(1-0.10257103%),2)</f>
        <v>0</v>
      </c>
      <c r="R73" s="399"/>
      <c r="S73" s="399"/>
      <c r="T73" s="235">
        <f>ROUND(H73*(1-5%),2)</f>
        <v>0</v>
      </c>
      <c r="U73" s="379"/>
      <c r="V73" s="379"/>
      <c r="W73" s="235">
        <f>ROUND(I73*(1-0.0030707%),2)</f>
        <v>0</v>
      </c>
      <c r="X73" s="389"/>
      <c r="Y73" s="389"/>
      <c r="Z73" s="235">
        <f>ROUND(J73*(1-5%),2)</f>
        <v>0</v>
      </c>
      <c r="AA73" s="220"/>
      <c r="AB73" s="220"/>
      <c r="AC73" s="235">
        <f>ROUND(K73*(1-1.31%),2)</f>
        <v>0</v>
      </c>
      <c r="AD73" s="521"/>
      <c r="AE73" s="521"/>
      <c r="AF73" s="551"/>
      <c r="AG73" s="551"/>
      <c r="AH73" s="478"/>
      <c r="AI73" s="478"/>
      <c r="AJ73" s="47">
        <f>SUM(E73:K73)-SUM(L73:AI73)</f>
        <v>0</v>
      </c>
    </row>
    <row r="74" spans="1:36" x14ac:dyDescent="0.2">
      <c r="A74" s="93"/>
      <c r="B74" s="94">
        <v>2</v>
      </c>
      <c r="C74" s="95"/>
      <c r="D74" s="105" t="s">
        <v>80</v>
      </c>
      <c r="E74" s="102"/>
      <c r="F74" s="103"/>
      <c r="G74" s="103"/>
      <c r="H74" s="103"/>
      <c r="I74" s="103"/>
      <c r="J74" s="103"/>
      <c r="K74" s="103"/>
      <c r="L74" s="158"/>
      <c r="M74" s="158"/>
      <c r="N74" s="235">
        <f>ROUND(F74*(1-8.18%),2)</f>
        <v>0</v>
      </c>
      <c r="O74" s="185"/>
      <c r="P74" s="185"/>
      <c r="Q74" s="235">
        <f>ROUND(G74*(1-0.10257103%),2)</f>
        <v>0</v>
      </c>
      <c r="R74" s="399"/>
      <c r="S74" s="399"/>
      <c r="T74" s="235">
        <f>ROUND(H74*(1-5%),2)</f>
        <v>0</v>
      </c>
      <c r="U74" s="379"/>
      <c r="V74" s="379"/>
      <c r="W74" s="235">
        <f>ROUND(I74*(1-0.0030707%),2)</f>
        <v>0</v>
      </c>
      <c r="X74" s="389"/>
      <c r="Y74" s="389"/>
      <c r="Z74" s="235">
        <f>ROUND(J74*(1-5%),2)</f>
        <v>0</v>
      </c>
      <c r="AA74" s="220"/>
      <c r="AB74" s="220"/>
      <c r="AC74" s="235">
        <f>ROUND(K74*(1-1.31%),2)</f>
        <v>0</v>
      </c>
      <c r="AD74" s="521"/>
      <c r="AE74" s="521"/>
      <c r="AF74" s="551"/>
      <c r="AG74" s="551"/>
      <c r="AH74" s="478"/>
      <c r="AI74" s="478"/>
      <c r="AJ74" s="47">
        <f>SUM(E74:K74)-SUM(L74:AI74)</f>
        <v>0</v>
      </c>
    </row>
    <row r="75" spans="1:36" x14ac:dyDescent="0.2">
      <c r="A75" s="93"/>
      <c r="B75" s="94"/>
      <c r="C75" s="95"/>
      <c r="D75" s="73" t="s">
        <v>182</v>
      </c>
      <c r="E75" s="131">
        <f>E73+E74</f>
        <v>0</v>
      </c>
      <c r="F75" s="131">
        <f t="shared" ref="F75:AJ75" si="43">F73+F74</f>
        <v>0</v>
      </c>
      <c r="G75" s="131">
        <f t="shared" si="43"/>
        <v>0</v>
      </c>
      <c r="H75" s="131">
        <f t="shared" si="43"/>
        <v>0</v>
      </c>
      <c r="I75" s="131">
        <f t="shared" si="43"/>
        <v>0</v>
      </c>
      <c r="J75" s="131">
        <f t="shared" si="43"/>
        <v>0</v>
      </c>
      <c r="K75" s="131">
        <f t="shared" si="43"/>
        <v>0</v>
      </c>
      <c r="L75" s="164">
        <f t="shared" si="43"/>
        <v>0</v>
      </c>
      <c r="M75" s="164">
        <f t="shared" si="43"/>
        <v>0</v>
      </c>
      <c r="N75" s="241">
        <f t="shared" ref="N75" si="44">N73+N74</f>
        <v>0</v>
      </c>
      <c r="O75" s="191">
        <f t="shared" si="43"/>
        <v>0</v>
      </c>
      <c r="P75" s="191">
        <f t="shared" si="43"/>
        <v>0</v>
      </c>
      <c r="Q75" s="241">
        <f t="shared" si="43"/>
        <v>0</v>
      </c>
      <c r="R75" s="406">
        <f t="shared" si="43"/>
        <v>0</v>
      </c>
      <c r="S75" s="406">
        <f t="shared" si="43"/>
        <v>0</v>
      </c>
      <c r="T75" s="241">
        <f t="shared" si="43"/>
        <v>0</v>
      </c>
      <c r="U75" s="386">
        <f t="shared" si="43"/>
        <v>0</v>
      </c>
      <c r="V75" s="386">
        <f t="shared" si="43"/>
        <v>0</v>
      </c>
      <c r="W75" s="241">
        <f t="shared" si="43"/>
        <v>0</v>
      </c>
      <c r="X75" s="396">
        <f t="shared" si="43"/>
        <v>0</v>
      </c>
      <c r="Y75" s="396">
        <f t="shared" si="43"/>
        <v>0</v>
      </c>
      <c r="Z75" s="241">
        <f t="shared" si="43"/>
        <v>0</v>
      </c>
      <c r="AA75" s="226">
        <f t="shared" si="43"/>
        <v>0</v>
      </c>
      <c r="AB75" s="226">
        <f t="shared" si="43"/>
        <v>0</v>
      </c>
      <c r="AC75" s="241">
        <f t="shared" si="43"/>
        <v>0</v>
      </c>
      <c r="AD75" s="528">
        <f t="shared" si="43"/>
        <v>0</v>
      </c>
      <c r="AE75" s="528">
        <f t="shared" si="43"/>
        <v>0</v>
      </c>
      <c r="AF75" s="558">
        <f t="shared" si="43"/>
        <v>0</v>
      </c>
      <c r="AG75" s="558">
        <f t="shared" si="43"/>
        <v>0</v>
      </c>
      <c r="AH75" s="486">
        <f t="shared" si="43"/>
        <v>0</v>
      </c>
      <c r="AI75" s="486">
        <f t="shared" si="43"/>
        <v>0</v>
      </c>
      <c r="AJ75" s="121">
        <f t="shared" si="43"/>
        <v>0</v>
      </c>
    </row>
    <row r="76" spans="1:36" x14ac:dyDescent="0.2">
      <c r="A76" s="93"/>
      <c r="B76" s="94"/>
      <c r="C76" s="95"/>
      <c r="D76" s="13"/>
      <c r="E76" s="102"/>
      <c r="F76" s="103"/>
      <c r="G76" s="103"/>
      <c r="H76" s="103"/>
      <c r="I76" s="103"/>
      <c r="J76" s="103"/>
      <c r="K76" s="103"/>
      <c r="L76" s="158"/>
      <c r="M76" s="158"/>
      <c r="N76" s="141"/>
      <c r="O76" s="185"/>
      <c r="P76" s="185"/>
      <c r="Q76" s="141"/>
      <c r="R76" s="401"/>
      <c r="S76" s="401"/>
      <c r="T76" s="141"/>
      <c r="U76" s="381"/>
      <c r="V76" s="381"/>
      <c r="W76" s="141"/>
      <c r="X76" s="391"/>
      <c r="Y76" s="391"/>
      <c r="Z76" s="141"/>
      <c r="AA76" s="220"/>
      <c r="AB76" s="220"/>
      <c r="AC76" s="141"/>
      <c r="AD76" s="523"/>
      <c r="AE76" s="523"/>
      <c r="AF76" s="553"/>
      <c r="AG76" s="553"/>
      <c r="AH76" s="480"/>
      <c r="AI76" s="480"/>
      <c r="AJ76" s="47"/>
    </row>
    <row r="77" spans="1:36" x14ac:dyDescent="0.2">
      <c r="A77" s="93" t="s">
        <v>45</v>
      </c>
      <c r="B77" s="94"/>
      <c r="C77" s="95"/>
      <c r="D77" s="104" t="s">
        <v>61</v>
      </c>
      <c r="E77" s="102"/>
      <c r="F77" s="103"/>
      <c r="G77" s="103"/>
      <c r="H77" s="103"/>
      <c r="I77" s="103"/>
      <c r="J77" s="103"/>
      <c r="K77" s="103"/>
      <c r="L77" s="158"/>
      <c r="M77" s="158"/>
      <c r="N77" s="141"/>
      <c r="O77" s="185"/>
      <c r="P77" s="185"/>
      <c r="Q77" s="141"/>
      <c r="R77" s="401"/>
      <c r="S77" s="401"/>
      <c r="T77" s="141"/>
      <c r="U77" s="381"/>
      <c r="V77" s="381"/>
      <c r="W77" s="141"/>
      <c r="X77" s="391"/>
      <c r="Y77" s="391"/>
      <c r="Z77" s="141"/>
      <c r="AA77" s="220"/>
      <c r="AB77" s="220"/>
      <c r="AC77" s="141"/>
      <c r="AD77" s="523"/>
      <c r="AE77" s="523"/>
      <c r="AF77" s="553"/>
      <c r="AG77" s="553"/>
      <c r="AH77" s="480"/>
      <c r="AI77" s="480"/>
      <c r="AJ77" s="47"/>
    </row>
    <row r="78" spans="1:36" x14ac:dyDescent="0.2">
      <c r="A78" s="93"/>
      <c r="B78" s="94">
        <v>1</v>
      </c>
      <c r="C78" s="95"/>
      <c r="D78" s="105" t="s">
        <v>95</v>
      </c>
      <c r="E78" s="102">
        <f>SUM(E79:E80)</f>
        <v>35405293.850000001</v>
      </c>
      <c r="F78" s="103">
        <f t="shared" ref="F78:AJ78" si="45">SUM(F79:F80)</f>
        <v>0</v>
      </c>
      <c r="G78" s="103">
        <f t="shared" si="45"/>
        <v>0</v>
      </c>
      <c r="H78" s="103">
        <f t="shared" si="45"/>
        <v>0</v>
      </c>
      <c r="I78" s="103">
        <f t="shared" si="45"/>
        <v>55491146.82</v>
      </c>
      <c r="J78" s="103">
        <f t="shared" si="45"/>
        <v>0</v>
      </c>
      <c r="K78" s="103">
        <f t="shared" si="45"/>
        <v>0</v>
      </c>
      <c r="L78" s="158">
        <f t="shared" si="45"/>
        <v>0</v>
      </c>
      <c r="M78" s="158">
        <f t="shared" si="45"/>
        <v>0</v>
      </c>
      <c r="N78" s="235">
        <f t="shared" ref="N78" si="46">SUM(N79:N80)</f>
        <v>0</v>
      </c>
      <c r="O78" s="185">
        <f t="shared" si="45"/>
        <v>0</v>
      </c>
      <c r="P78" s="185">
        <f t="shared" si="45"/>
        <v>0</v>
      </c>
      <c r="Q78" s="235">
        <f t="shared" si="45"/>
        <v>0</v>
      </c>
      <c r="R78" s="399">
        <f t="shared" si="45"/>
        <v>0</v>
      </c>
      <c r="S78" s="399">
        <f t="shared" si="45"/>
        <v>0</v>
      </c>
      <c r="T78" s="235">
        <f t="shared" si="45"/>
        <v>0</v>
      </c>
      <c r="U78" s="379">
        <f t="shared" si="45"/>
        <v>0</v>
      </c>
      <c r="V78" s="379">
        <f t="shared" si="45"/>
        <v>0</v>
      </c>
      <c r="W78" s="235">
        <f t="shared" si="45"/>
        <v>55489442.850000001</v>
      </c>
      <c r="X78" s="389">
        <f t="shared" si="45"/>
        <v>0</v>
      </c>
      <c r="Y78" s="389">
        <f t="shared" si="45"/>
        <v>0</v>
      </c>
      <c r="Z78" s="235">
        <f t="shared" si="45"/>
        <v>0</v>
      </c>
      <c r="AA78" s="220">
        <f t="shared" si="45"/>
        <v>0</v>
      </c>
      <c r="AB78" s="220">
        <f t="shared" si="45"/>
        <v>0</v>
      </c>
      <c r="AC78" s="235">
        <f t="shared" si="45"/>
        <v>0</v>
      </c>
      <c r="AD78" s="521"/>
      <c r="AE78" s="521"/>
      <c r="AF78" s="551"/>
      <c r="AG78" s="551"/>
      <c r="AH78" s="478">
        <f t="shared" si="45"/>
        <v>0</v>
      </c>
      <c r="AI78" s="478">
        <f t="shared" si="45"/>
        <v>0</v>
      </c>
      <c r="AJ78" s="47">
        <f t="shared" si="45"/>
        <v>35406997.82</v>
      </c>
    </row>
    <row r="79" spans="1:36" x14ac:dyDescent="0.2">
      <c r="A79" s="93"/>
      <c r="B79" s="94"/>
      <c r="C79" s="95" t="s">
        <v>29</v>
      </c>
      <c r="D79" s="122" t="s">
        <v>27</v>
      </c>
      <c r="E79" s="102">
        <v>35405293.850000001</v>
      </c>
      <c r="F79" s="103"/>
      <c r="G79" s="103"/>
      <c r="H79" s="103"/>
      <c r="I79" s="103">
        <v>55491146.82</v>
      </c>
      <c r="J79" s="103"/>
      <c r="K79" s="103"/>
      <c r="L79" s="158"/>
      <c r="M79" s="158"/>
      <c r="N79" s="235">
        <f>ROUND(F79*(1-8.18%),2)</f>
        <v>0</v>
      </c>
      <c r="O79" s="185"/>
      <c r="P79" s="185"/>
      <c r="Q79" s="235">
        <f>ROUND(G79*(1-0.10257103%),2)</f>
        <v>0</v>
      </c>
      <c r="R79" s="399"/>
      <c r="S79" s="399"/>
      <c r="T79" s="235">
        <f>ROUND(H79*(1-5%),2)</f>
        <v>0</v>
      </c>
      <c r="U79" s="379"/>
      <c r="V79" s="379"/>
      <c r="W79" s="235">
        <f>ROUND(I79*(1-0.0030707%),2)</f>
        <v>55489442.850000001</v>
      </c>
      <c r="X79" s="389"/>
      <c r="Y79" s="389"/>
      <c r="Z79" s="235">
        <f>ROUND(J79*(1-5%),2)</f>
        <v>0</v>
      </c>
      <c r="AA79" s="220"/>
      <c r="AB79" s="220"/>
      <c r="AC79" s="235">
        <f>ROUND(K79*(1-1.31%),2)</f>
        <v>0</v>
      </c>
      <c r="AD79" s="521"/>
      <c r="AE79" s="521"/>
      <c r="AF79" s="551"/>
      <c r="AG79" s="551"/>
      <c r="AH79" s="478"/>
      <c r="AI79" s="478"/>
      <c r="AJ79" s="47">
        <f>SUM(E79:K79)-SUM(L79:AI79)</f>
        <v>35406997.82</v>
      </c>
    </row>
    <row r="80" spans="1:36" x14ac:dyDescent="0.2">
      <c r="A80" s="93"/>
      <c r="B80" s="94"/>
      <c r="C80" s="95" t="s">
        <v>30</v>
      </c>
      <c r="D80" s="122" t="s">
        <v>156</v>
      </c>
      <c r="E80" s="102"/>
      <c r="F80" s="103"/>
      <c r="G80" s="103"/>
      <c r="H80" s="103"/>
      <c r="I80" s="103"/>
      <c r="J80" s="103"/>
      <c r="K80" s="103"/>
      <c r="L80" s="158"/>
      <c r="M80" s="158"/>
      <c r="N80" s="235">
        <f>ROUND(F80*(1-8.18%),2)</f>
        <v>0</v>
      </c>
      <c r="O80" s="185"/>
      <c r="P80" s="185"/>
      <c r="Q80" s="235">
        <f>ROUND(G80*(1-0.10257103%),2)</f>
        <v>0</v>
      </c>
      <c r="R80" s="399"/>
      <c r="S80" s="399"/>
      <c r="T80" s="235">
        <f>ROUND(H80*(1-5%),2)</f>
        <v>0</v>
      </c>
      <c r="U80" s="379"/>
      <c r="V80" s="379"/>
      <c r="W80" s="235">
        <f>ROUND(I80*(1-0.0030707%),2)</f>
        <v>0</v>
      </c>
      <c r="X80" s="389"/>
      <c r="Y80" s="389"/>
      <c r="Z80" s="235">
        <f>ROUND(J80*(1-5%),2)</f>
        <v>0</v>
      </c>
      <c r="AA80" s="220"/>
      <c r="AB80" s="220"/>
      <c r="AC80" s="235">
        <f>ROUND(K80*(1-1.31%),2)</f>
        <v>0</v>
      </c>
      <c r="AD80" s="521"/>
      <c r="AE80" s="521"/>
      <c r="AF80" s="551"/>
      <c r="AG80" s="551"/>
      <c r="AH80" s="478"/>
      <c r="AI80" s="478"/>
      <c r="AJ80" s="47">
        <f>SUM(E80:K80)-SUM(L80:AI80)</f>
        <v>0</v>
      </c>
    </row>
    <row r="81" spans="1:36" x14ac:dyDescent="0.2">
      <c r="A81" s="93"/>
      <c r="B81" s="94">
        <v>2</v>
      </c>
      <c r="C81" s="95"/>
      <c r="D81" s="105" t="s">
        <v>96</v>
      </c>
      <c r="E81" s="102">
        <v>4477.2299999999996</v>
      </c>
      <c r="F81" s="103"/>
      <c r="G81" s="103">
        <v>105166438</v>
      </c>
      <c r="H81" s="103">
        <v>69576214</v>
      </c>
      <c r="I81" s="103">
        <v>175.19</v>
      </c>
      <c r="J81" s="103">
        <v>7138804</v>
      </c>
      <c r="K81" s="103"/>
      <c r="L81" s="158"/>
      <c r="M81" s="158"/>
      <c r="N81" s="235">
        <f>ROUND(F81*(1-8.18%),2)</f>
        <v>0</v>
      </c>
      <c r="O81" s="185"/>
      <c r="P81" s="185"/>
      <c r="Q81" s="235">
        <f>ROUND(G81*(1-0.10257103%),2)</f>
        <v>105058567.7</v>
      </c>
      <c r="R81" s="399"/>
      <c r="S81" s="399"/>
      <c r="T81" s="235">
        <f>ROUND(H81*(1-5%),2)</f>
        <v>66097403.299999997</v>
      </c>
      <c r="U81" s="379"/>
      <c r="V81" s="379"/>
      <c r="W81" s="235">
        <f>ROUND(I81*(1-0.0030707%),2)</f>
        <v>175.18</v>
      </c>
      <c r="X81" s="389"/>
      <c r="Y81" s="389"/>
      <c r="Z81" s="235">
        <f>ROUND(J81*(1-5%),2)</f>
        <v>6781863.7999999998</v>
      </c>
      <c r="AA81" s="220"/>
      <c r="AB81" s="220"/>
      <c r="AC81" s="235">
        <f>ROUND(K81*(1-1.31%),2)</f>
        <v>0</v>
      </c>
      <c r="AD81" s="521"/>
      <c r="AE81" s="521"/>
      <c r="AF81" s="551"/>
      <c r="AG81" s="551"/>
      <c r="AH81" s="478"/>
      <c r="AI81" s="478"/>
      <c r="AJ81" s="47">
        <f>SUM(E81:K81)-SUM(L81:AI81)</f>
        <v>3948098.4399999976</v>
      </c>
    </row>
    <row r="82" spans="1:36" x14ac:dyDescent="0.2">
      <c r="A82" s="93"/>
      <c r="B82" s="94">
        <v>3</v>
      </c>
      <c r="C82" s="95"/>
      <c r="D82" s="74" t="s">
        <v>183</v>
      </c>
      <c r="E82" s="102"/>
      <c r="F82" s="103"/>
      <c r="G82" s="103">
        <v>8207</v>
      </c>
      <c r="H82" s="103">
        <v>848</v>
      </c>
      <c r="I82" s="103">
        <v>7439.2</v>
      </c>
      <c r="J82" s="103">
        <v>1771</v>
      </c>
      <c r="K82" s="103"/>
      <c r="L82" s="158"/>
      <c r="M82" s="158"/>
      <c r="N82" s="235">
        <f>ROUND(F82*(1-8.18%),2)</f>
        <v>0</v>
      </c>
      <c r="O82" s="185"/>
      <c r="P82" s="185"/>
      <c r="Q82" s="235">
        <f>ROUND(G82*(1-0.10257103%),2)</f>
        <v>8198.58</v>
      </c>
      <c r="R82" s="399"/>
      <c r="S82" s="399"/>
      <c r="T82" s="235">
        <f>ROUND(H82*(1-5%),2)</f>
        <v>805.6</v>
      </c>
      <c r="U82" s="379"/>
      <c r="V82" s="379"/>
      <c r="W82" s="235">
        <f>ROUND(I82*(1-0.0030707%),2)</f>
        <v>7438.97</v>
      </c>
      <c r="X82" s="389"/>
      <c r="Y82" s="389"/>
      <c r="Z82" s="235">
        <f>ROUND(J82*(1-5%),2)</f>
        <v>1682.45</v>
      </c>
      <c r="AA82" s="220"/>
      <c r="AB82" s="220"/>
      <c r="AC82" s="235">
        <f>ROUND(K82*(1-1.31%),2)</f>
        <v>0</v>
      </c>
      <c r="AD82" s="521"/>
      <c r="AE82" s="521"/>
      <c r="AF82" s="551"/>
      <c r="AG82" s="551"/>
      <c r="AH82" s="478"/>
      <c r="AI82" s="478"/>
      <c r="AJ82" s="47">
        <f>SUM(E82:K82)-SUM(L82:AI82)</f>
        <v>139.59999999999854</v>
      </c>
    </row>
    <row r="83" spans="1:36" x14ac:dyDescent="0.2">
      <c r="A83" s="93"/>
      <c r="B83" s="107">
        <v>4</v>
      </c>
      <c r="C83" s="108"/>
      <c r="D83" s="75" t="s">
        <v>184</v>
      </c>
      <c r="E83" s="102"/>
      <c r="F83" s="103"/>
      <c r="G83" s="103"/>
      <c r="H83" s="103"/>
      <c r="I83" s="103"/>
      <c r="J83" s="103"/>
      <c r="K83" s="103"/>
      <c r="L83" s="158"/>
      <c r="M83" s="158"/>
      <c r="N83" s="235">
        <f>ROUND(F83*(1-8.18%),2)</f>
        <v>0</v>
      </c>
      <c r="O83" s="185"/>
      <c r="P83" s="185"/>
      <c r="Q83" s="235">
        <f>ROUND(G83*(1-0.10257103%),2)</f>
        <v>0</v>
      </c>
      <c r="R83" s="399"/>
      <c r="S83" s="399"/>
      <c r="T83" s="235">
        <f>ROUND(H83*(1-5%),2)</f>
        <v>0</v>
      </c>
      <c r="U83" s="379"/>
      <c r="V83" s="379"/>
      <c r="W83" s="235">
        <f>ROUND(I83*(1-0.0030707%),2)</f>
        <v>0</v>
      </c>
      <c r="X83" s="389"/>
      <c r="Y83" s="389"/>
      <c r="Z83" s="235">
        <f>ROUND(J83*(1-5%),2)</f>
        <v>0</v>
      </c>
      <c r="AA83" s="220"/>
      <c r="AB83" s="220"/>
      <c r="AC83" s="235">
        <f>ROUND(K83*(1-1.31%),2)</f>
        <v>0</v>
      </c>
      <c r="AD83" s="521"/>
      <c r="AE83" s="521"/>
      <c r="AF83" s="551"/>
      <c r="AG83" s="551"/>
      <c r="AH83" s="478"/>
      <c r="AI83" s="478"/>
      <c r="AJ83" s="47">
        <f>SUM(E83:K83)-SUM(L83:AI83)</f>
        <v>0</v>
      </c>
    </row>
    <row r="84" spans="1:36" x14ac:dyDescent="0.2">
      <c r="A84" s="93"/>
      <c r="B84" s="94"/>
      <c r="C84" s="95"/>
      <c r="D84" s="73" t="s">
        <v>186</v>
      </c>
      <c r="E84" s="124">
        <f>E78+E81+E82+E83</f>
        <v>35409771.079999998</v>
      </c>
      <c r="F84" s="124">
        <f t="shared" ref="F84:AJ84" si="47">F78+F81+F82+F83</f>
        <v>0</v>
      </c>
      <c r="G84" s="124">
        <f t="shared" si="47"/>
        <v>105174645</v>
      </c>
      <c r="H84" s="124">
        <f t="shared" si="47"/>
        <v>69577062</v>
      </c>
      <c r="I84" s="124">
        <f t="shared" si="47"/>
        <v>55498761.210000001</v>
      </c>
      <c r="J84" s="124">
        <f t="shared" si="47"/>
        <v>7140575</v>
      </c>
      <c r="K84" s="124">
        <f t="shared" si="47"/>
        <v>0</v>
      </c>
      <c r="L84" s="162">
        <f t="shared" si="47"/>
        <v>0</v>
      </c>
      <c r="M84" s="162">
        <f t="shared" si="47"/>
        <v>0</v>
      </c>
      <c r="N84" s="239">
        <f t="shared" ref="N84" si="48">N78+N81+N82+N83</f>
        <v>0</v>
      </c>
      <c r="O84" s="189">
        <f t="shared" si="47"/>
        <v>0</v>
      </c>
      <c r="P84" s="189">
        <f t="shared" si="47"/>
        <v>0</v>
      </c>
      <c r="Q84" s="239">
        <f t="shared" si="47"/>
        <v>105066766.28</v>
      </c>
      <c r="R84" s="404">
        <f t="shared" si="47"/>
        <v>0</v>
      </c>
      <c r="S84" s="404">
        <f t="shared" si="47"/>
        <v>0</v>
      </c>
      <c r="T84" s="239">
        <f t="shared" si="47"/>
        <v>66098208.899999999</v>
      </c>
      <c r="U84" s="384">
        <f t="shared" si="47"/>
        <v>0</v>
      </c>
      <c r="V84" s="384">
        <f t="shared" si="47"/>
        <v>0</v>
      </c>
      <c r="W84" s="239">
        <f t="shared" si="47"/>
        <v>55497057</v>
      </c>
      <c r="X84" s="394">
        <f t="shared" si="47"/>
        <v>0</v>
      </c>
      <c r="Y84" s="394">
        <f t="shared" si="47"/>
        <v>0</v>
      </c>
      <c r="Z84" s="239">
        <f t="shared" si="47"/>
        <v>6783546.25</v>
      </c>
      <c r="AA84" s="224">
        <f t="shared" si="47"/>
        <v>0</v>
      </c>
      <c r="AB84" s="224">
        <f t="shared" si="47"/>
        <v>0</v>
      </c>
      <c r="AC84" s="239">
        <f t="shared" si="47"/>
        <v>0</v>
      </c>
      <c r="AD84" s="526">
        <f t="shared" si="47"/>
        <v>0</v>
      </c>
      <c r="AE84" s="526">
        <f t="shared" si="47"/>
        <v>0</v>
      </c>
      <c r="AF84" s="556">
        <f t="shared" si="47"/>
        <v>0</v>
      </c>
      <c r="AG84" s="556">
        <f t="shared" si="47"/>
        <v>0</v>
      </c>
      <c r="AH84" s="484">
        <f t="shared" si="47"/>
        <v>0</v>
      </c>
      <c r="AI84" s="484">
        <f t="shared" si="47"/>
        <v>0</v>
      </c>
      <c r="AJ84" s="125">
        <f t="shared" si="47"/>
        <v>39355235.859999999</v>
      </c>
    </row>
    <row r="85" spans="1:36" x14ac:dyDescent="0.2">
      <c r="A85" s="93"/>
      <c r="B85" s="94"/>
      <c r="C85" s="95"/>
      <c r="D85" s="52" t="s">
        <v>76</v>
      </c>
      <c r="E85" s="129">
        <f>E54+E70+E75+E84</f>
        <v>38963704.5</v>
      </c>
      <c r="F85" s="129">
        <f t="shared" ref="F85:AJ85" si="49">F54+F70+F75+F84</f>
        <v>0</v>
      </c>
      <c r="G85" s="129">
        <f t="shared" si="49"/>
        <v>779396432</v>
      </c>
      <c r="H85" s="129">
        <f t="shared" si="49"/>
        <v>154446461</v>
      </c>
      <c r="I85" s="129">
        <f t="shared" si="49"/>
        <v>105854603.50999999</v>
      </c>
      <c r="J85" s="129">
        <f t="shared" si="49"/>
        <v>78395135</v>
      </c>
      <c r="K85" s="129">
        <f t="shared" si="49"/>
        <v>0</v>
      </c>
      <c r="L85" s="163">
        <f t="shared" si="49"/>
        <v>0</v>
      </c>
      <c r="M85" s="163">
        <f t="shared" si="49"/>
        <v>0</v>
      </c>
      <c r="N85" s="240">
        <f t="shared" ref="N85" si="50">N54+N70+N75+N84</f>
        <v>0</v>
      </c>
      <c r="O85" s="190">
        <f t="shared" si="49"/>
        <v>0</v>
      </c>
      <c r="P85" s="190">
        <f t="shared" si="49"/>
        <v>375.40268725686997</v>
      </c>
      <c r="Q85" s="240">
        <f t="shared" si="49"/>
        <v>778596997.04999995</v>
      </c>
      <c r="R85" s="405">
        <f t="shared" si="49"/>
        <v>0</v>
      </c>
      <c r="S85" s="405">
        <f t="shared" si="49"/>
        <v>0</v>
      </c>
      <c r="T85" s="240">
        <f t="shared" si="49"/>
        <v>146724137.94999999</v>
      </c>
      <c r="U85" s="385">
        <f t="shared" si="49"/>
        <v>0</v>
      </c>
      <c r="V85" s="385">
        <f t="shared" si="49"/>
        <v>0</v>
      </c>
      <c r="W85" s="240">
        <f t="shared" si="49"/>
        <v>105851353.03</v>
      </c>
      <c r="X85" s="395">
        <f t="shared" si="49"/>
        <v>0</v>
      </c>
      <c r="Y85" s="395">
        <f t="shared" si="49"/>
        <v>2978.4935000000005</v>
      </c>
      <c r="Z85" s="240">
        <f t="shared" si="49"/>
        <v>74475378.25</v>
      </c>
      <c r="AA85" s="225">
        <f t="shared" si="49"/>
        <v>0</v>
      </c>
      <c r="AB85" s="225">
        <f t="shared" si="49"/>
        <v>0</v>
      </c>
      <c r="AC85" s="240">
        <f t="shared" si="49"/>
        <v>0</v>
      </c>
      <c r="AD85" s="527">
        <f t="shared" si="49"/>
        <v>0</v>
      </c>
      <c r="AE85" s="527">
        <f t="shared" si="49"/>
        <v>0</v>
      </c>
      <c r="AF85" s="557">
        <f t="shared" si="49"/>
        <v>0</v>
      </c>
      <c r="AG85" s="557">
        <f t="shared" si="49"/>
        <v>0</v>
      </c>
      <c r="AH85" s="485">
        <f t="shared" si="49"/>
        <v>0</v>
      </c>
      <c r="AI85" s="485">
        <f t="shared" si="49"/>
        <v>0</v>
      </c>
      <c r="AJ85" s="130">
        <f t="shared" si="49"/>
        <v>51405115.833812602</v>
      </c>
    </row>
    <row r="86" spans="1:36" x14ac:dyDescent="0.2">
      <c r="A86" s="93"/>
      <c r="B86" s="94"/>
      <c r="C86" s="95"/>
      <c r="D86" s="105"/>
      <c r="E86" s="102"/>
      <c r="F86" s="103"/>
      <c r="G86" s="103"/>
      <c r="H86" s="103"/>
      <c r="I86" s="103"/>
      <c r="J86" s="103"/>
      <c r="K86" s="103"/>
      <c r="L86" s="158"/>
      <c r="M86" s="158"/>
      <c r="N86" s="141"/>
      <c r="O86" s="185"/>
      <c r="P86" s="185"/>
      <c r="Q86" s="141"/>
      <c r="R86" s="401"/>
      <c r="S86" s="401"/>
      <c r="T86" s="141"/>
      <c r="U86" s="381"/>
      <c r="V86" s="381"/>
      <c r="W86" s="141"/>
      <c r="X86" s="391"/>
      <c r="Y86" s="391"/>
      <c r="Z86" s="141"/>
      <c r="AA86" s="220"/>
      <c r="AB86" s="220"/>
      <c r="AC86" s="141"/>
      <c r="AD86" s="523"/>
      <c r="AE86" s="523"/>
      <c r="AF86" s="553"/>
      <c r="AG86" s="553"/>
      <c r="AH86" s="480"/>
      <c r="AI86" s="480"/>
      <c r="AJ86" s="47"/>
    </row>
    <row r="87" spans="1:36" x14ac:dyDescent="0.2">
      <c r="A87" s="93"/>
      <c r="B87" s="94"/>
      <c r="C87" s="95"/>
      <c r="D87" s="132" t="s">
        <v>46</v>
      </c>
      <c r="E87" s="102"/>
      <c r="F87" s="103"/>
      <c r="G87" s="103"/>
      <c r="H87" s="103"/>
      <c r="I87" s="103"/>
      <c r="J87" s="103"/>
      <c r="K87" s="103"/>
      <c r="L87" s="158"/>
      <c r="M87" s="158"/>
      <c r="N87" s="141"/>
      <c r="O87" s="185"/>
      <c r="P87" s="185"/>
      <c r="Q87" s="141"/>
      <c r="R87" s="401"/>
      <c r="S87" s="401"/>
      <c r="T87" s="141"/>
      <c r="U87" s="381"/>
      <c r="V87" s="381"/>
      <c r="W87" s="141"/>
      <c r="X87" s="391"/>
      <c r="Y87" s="391"/>
      <c r="Z87" s="141"/>
      <c r="AA87" s="220"/>
      <c r="AB87" s="220"/>
      <c r="AC87" s="141"/>
      <c r="AD87" s="523"/>
      <c r="AE87" s="523"/>
      <c r="AF87" s="553"/>
      <c r="AG87" s="553"/>
      <c r="AH87" s="480"/>
      <c r="AI87" s="480"/>
      <c r="AJ87" s="47"/>
    </row>
    <row r="88" spans="1:36" x14ac:dyDescent="0.2">
      <c r="A88" s="93" t="s">
        <v>0</v>
      </c>
      <c r="B88" s="94">
        <v>1</v>
      </c>
      <c r="C88" s="95"/>
      <c r="D88" s="105" t="s">
        <v>63</v>
      </c>
      <c r="E88" s="102"/>
      <c r="F88" s="103"/>
      <c r="G88" s="103"/>
      <c r="H88" s="103"/>
      <c r="I88" s="103"/>
      <c r="J88" s="103"/>
      <c r="K88" s="103"/>
      <c r="L88" s="158"/>
      <c r="M88" s="158"/>
      <c r="N88" s="235">
        <f>ROUND(F88*(1-8.18%),2)</f>
        <v>0</v>
      </c>
      <c r="O88" s="185"/>
      <c r="P88" s="185"/>
      <c r="Q88" s="235">
        <f>ROUND(G88*(1-0.10257103%),2)</f>
        <v>0</v>
      </c>
      <c r="R88" s="399"/>
      <c r="S88" s="399"/>
      <c r="T88" s="235">
        <f>ROUND(H88*(1-5%),2)</f>
        <v>0</v>
      </c>
      <c r="U88" s="379"/>
      <c r="V88" s="379"/>
      <c r="W88" s="235">
        <f>ROUND(I88*(1-0.0030707%),2)</f>
        <v>0</v>
      </c>
      <c r="X88" s="389"/>
      <c r="Y88" s="389"/>
      <c r="Z88" s="235">
        <f>ROUND(J88*(1-5%),2)</f>
        <v>0</v>
      </c>
      <c r="AA88" s="220"/>
      <c r="AB88" s="220"/>
      <c r="AC88" s="235">
        <f>ROUND(K88*(1-1.31%),2)</f>
        <v>0</v>
      </c>
      <c r="AD88" s="521"/>
      <c r="AE88" s="521"/>
      <c r="AF88" s="551"/>
      <c r="AG88" s="551"/>
      <c r="AH88" s="478"/>
      <c r="AI88" s="478"/>
      <c r="AJ88" s="47">
        <f>SUM(E88:K88)-SUM(L88:AI88)</f>
        <v>0</v>
      </c>
    </row>
    <row r="89" spans="1:36" x14ac:dyDescent="0.2">
      <c r="A89" s="93" t="s">
        <v>0</v>
      </c>
      <c r="B89" s="94">
        <v>2</v>
      </c>
      <c r="C89" s="95"/>
      <c r="D89" s="105" t="s">
        <v>64</v>
      </c>
      <c r="E89" s="102"/>
      <c r="F89" s="103"/>
      <c r="G89" s="103">
        <v>427656</v>
      </c>
      <c r="H89" s="103">
        <v>49331</v>
      </c>
      <c r="I89" s="103">
        <v>5648.63</v>
      </c>
      <c r="J89" s="103">
        <v>678393</v>
      </c>
      <c r="K89" s="103"/>
      <c r="L89" s="158"/>
      <c r="M89" s="158"/>
      <c r="N89" s="235">
        <f>ROUND(F89*(1-8.18%),2)</f>
        <v>0</v>
      </c>
      <c r="O89" s="185"/>
      <c r="P89" s="185"/>
      <c r="Q89" s="235">
        <f>ROUND(G89*(1-0.10257103%),2)</f>
        <v>427217.35</v>
      </c>
      <c r="R89" s="399"/>
      <c r="S89" s="399"/>
      <c r="T89" s="235">
        <f>ROUND(H89*(1-5%),2)</f>
        <v>46864.45</v>
      </c>
      <c r="U89" s="379"/>
      <c r="V89" s="379"/>
      <c r="W89" s="235">
        <f>ROUND(I89*(1-0.0030707%),2)</f>
        <v>5648.46</v>
      </c>
      <c r="X89" s="389"/>
      <c r="Y89" s="389"/>
      <c r="Z89" s="235">
        <f>ROUND(J89*(1-5%),2)</f>
        <v>644473.35</v>
      </c>
      <c r="AA89" s="220"/>
      <c r="AB89" s="220"/>
      <c r="AC89" s="235">
        <f>ROUND(K89*(1-1.31%),2)</f>
        <v>0</v>
      </c>
      <c r="AD89" s="521"/>
      <c r="AE89" s="521"/>
      <c r="AF89" s="551"/>
      <c r="AG89" s="551"/>
      <c r="AH89" s="478"/>
      <c r="AI89" s="478"/>
      <c r="AJ89" s="47">
        <f>SUM(E89:K89)-SUM(L89:AI89)</f>
        <v>36825.020000000019</v>
      </c>
    </row>
    <row r="90" spans="1:36" x14ac:dyDescent="0.2">
      <c r="A90" s="93"/>
      <c r="B90" s="94"/>
      <c r="C90" s="95"/>
      <c r="D90" s="52" t="s">
        <v>77</v>
      </c>
      <c r="E90" s="131">
        <f>E88+E89</f>
        <v>0</v>
      </c>
      <c r="F90" s="131">
        <f t="shared" ref="F90:AJ90" si="51">F88+F89</f>
        <v>0</v>
      </c>
      <c r="G90" s="131">
        <f t="shared" si="51"/>
        <v>427656</v>
      </c>
      <c r="H90" s="131">
        <f t="shared" si="51"/>
        <v>49331</v>
      </c>
      <c r="I90" s="131">
        <f t="shared" si="51"/>
        <v>5648.63</v>
      </c>
      <c r="J90" s="131">
        <f t="shared" si="51"/>
        <v>678393</v>
      </c>
      <c r="K90" s="131">
        <f t="shared" si="51"/>
        <v>0</v>
      </c>
      <c r="L90" s="164">
        <f t="shared" si="51"/>
        <v>0</v>
      </c>
      <c r="M90" s="164">
        <f t="shared" si="51"/>
        <v>0</v>
      </c>
      <c r="N90" s="241">
        <f t="shared" ref="N90" si="52">N88+N89</f>
        <v>0</v>
      </c>
      <c r="O90" s="191">
        <f t="shared" si="51"/>
        <v>0</v>
      </c>
      <c r="P90" s="191">
        <f t="shared" si="51"/>
        <v>0</v>
      </c>
      <c r="Q90" s="241">
        <f t="shared" si="51"/>
        <v>427217.35</v>
      </c>
      <c r="R90" s="406">
        <f t="shared" si="51"/>
        <v>0</v>
      </c>
      <c r="S90" s="406">
        <f t="shared" si="51"/>
        <v>0</v>
      </c>
      <c r="T90" s="241">
        <f t="shared" si="51"/>
        <v>46864.45</v>
      </c>
      <c r="U90" s="386">
        <f t="shared" si="51"/>
        <v>0</v>
      </c>
      <c r="V90" s="386">
        <f t="shared" si="51"/>
        <v>0</v>
      </c>
      <c r="W90" s="241">
        <f t="shared" si="51"/>
        <v>5648.46</v>
      </c>
      <c r="X90" s="396">
        <f t="shared" si="51"/>
        <v>0</v>
      </c>
      <c r="Y90" s="396">
        <f t="shared" si="51"/>
        <v>0</v>
      </c>
      <c r="Z90" s="241">
        <f t="shared" si="51"/>
        <v>644473.35</v>
      </c>
      <c r="AA90" s="226">
        <f t="shared" si="51"/>
        <v>0</v>
      </c>
      <c r="AB90" s="226">
        <f t="shared" si="51"/>
        <v>0</v>
      </c>
      <c r="AC90" s="241">
        <f t="shared" si="51"/>
        <v>0</v>
      </c>
      <c r="AD90" s="528">
        <f t="shared" si="51"/>
        <v>0</v>
      </c>
      <c r="AE90" s="528">
        <f t="shared" si="51"/>
        <v>0</v>
      </c>
      <c r="AF90" s="558">
        <f t="shared" si="51"/>
        <v>0</v>
      </c>
      <c r="AG90" s="558">
        <f t="shared" si="51"/>
        <v>0</v>
      </c>
      <c r="AH90" s="486">
        <f t="shared" si="51"/>
        <v>0</v>
      </c>
      <c r="AI90" s="486">
        <f t="shared" si="51"/>
        <v>0</v>
      </c>
      <c r="AJ90" s="121">
        <f t="shared" si="51"/>
        <v>36825.020000000019</v>
      </c>
    </row>
    <row r="91" spans="1:36" x14ac:dyDescent="0.2">
      <c r="A91" s="93"/>
      <c r="B91" s="94"/>
      <c r="C91" s="95"/>
      <c r="D91" s="13"/>
      <c r="E91" s="120"/>
      <c r="F91" s="120"/>
      <c r="G91" s="120"/>
      <c r="H91" s="120"/>
      <c r="I91" s="120"/>
      <c r="J91" s="120"/>
      <c r="K91" s="120"/>
      <c r="L91" s="165"/>
      <c r="M91" s="165"/>
      <c r="N91" s="242"/>
      <c r="O91" s="192"/>
      <c r="P91" s="192"/>
      <c r="Q91" s="242"/>
      <c r="R91" s="407"/>
      <c r="S91" s="407"/>
      <c r="T91" s="242"/>
      <c r="U91" s="387"/>
      <c r="V91" s="387"/>
      <c r="W91" s="242"/>
      <c r="X91" s="397"/>
      <c r="Y91" s="397"/>
      <c r="Z91" s="242"/>
      <c r="AA91" s="227"/>
      <c r="AB91" s="227"/>
      <c r="AC91" s="242"/>
      <c r="AD91" s="529"/>
      <c r="AE91" s="529"/>
      <c r="AF91" s="559"/>
      <c r="AG91" s="559"/>
      <c r="AH91" s="481"/>
      <c r="AI91" s="481"/>
      <c r="AJ91" s="121"/>
    </row>
    <row r="92" spans="1:36" ht="13.5" thickBot="1" x14ac:dyDescent="0.25">
      <c r="A92" s="133"/>
      <c r="B92" s="134"/>
      <c r="C92" s="135"/>
      <c r="D92" s="58" t="s">
        <v>28</v>
      </c>
      <c r="E92" s="136">
        <f>E4+E50+E85+E90</f>
        <v>80111937.430000007</v>
      </c>
      <c r="F92" s="136">
        <f t="shared" ref="F92:AJ92" si="53">F4+F50+F85+F90</f>
        <v>0</v>
      </c>
      <c r="G92" s="136">
        <f t="shared" si="53"/>
        <v>1051039975</v>
      </c>
      <c r="H92" s="136">
        <f t="shared" si="53"/>
        <v>348135319</v>
      </c>
      <c r="I92" s="136">
        <f t="shared" si="53"/>
        <v>110851422.19999999</v>
      </c>
      <c r="J92" s="136">
        <f t="shared" si="53"/>
        <v>80684913</v>
      </c>
      <c r="K92" s="136">
        <f t="shared" si="53"/>
        <v>0</v>
      </c>
      <c r="L92" s="166">
        <f t="shared" si="53"/>
        <v>0</v>
      </c>
      <c r="M92" s="166">
        <f t="shared" si="53"/>
        <v>0</v>
      </c>
      <c r="N92" s="243">
        <f t="shared" ref="N92" si="54">N4+N50+N85+N90</f>
        <v>0</v>
      </c>
      <c r="O92" s="193">
        <f t="shared" si="53"/>
        <v>344896.23572479282</v>
      </c>
      <c r="P92" s="193">
        <f t="shared" si="53"/>
        <v>375.40268725686997</v>
      </c>
      <c r="Q92" s="243">
        <f t="shared" si="53"/>
        <v>1049961912.4699999</v>
      </c>
      <c r="R92" s="408">
        <f t="shared" si="53"/>
        <v>2457644.2999999998</v>
      </c>
      <c r="S92" s="408">
        <f t="shared" si="53"/>
        <v>0</v>
      </c>
      <c r="T92" s="243">
        <f t="shared" si="53"/>
        <v>330728553.04999995</v>
      </c>
      <c r="U92" s="388">
        <f t="shared" si="53"/>
        <v>370.62</v>
      </c>
      <c r="V92" s="388">
        <f t="shared" si="53"/>
        <v>0</v>
      </c>
      <c r="W92" s="243">
        <f t="shared" si="53"/>
        <v>110848018.28999999</v>
      </c>
      <c r="X92" s="398">
        <f t="shared" si="53"/>
        <v>55822.3</v>
      </c>
      <c r="Y92" s="398">
        <f t="shared" si="53"/>
        <v>2978.4935000000005</v>
      </c>
      <c r="Z92" s="243">
        <f t="shared" si="53"/>
        <v>76650667.349999994</v>
      </c>
      <c r="AA92" s="228">
        <f t="shared" si="53"/>
        <v>0</v>
      </c>
      <c r="AB92" s="228">
        <f t="shared" si="53"/>
        <v>0</v>
      </c>
      <c r="AC92" s="243">
        <f t="shared" si="53"/>
        <v>0</v>
      </c>
      <c r="AD92" s="530">
        <f t="shared" si="53"/>
        <v>0</v>
      </c>
      <c r="AE92" s="530">
        <f t="shared" si="53"/>
        <v>0</v>
      </c>
      <c r="AF92" s="560">
        <f t="shared" si="53"/>
        <v>0</v>
      </c>
      <c r="AG92" s="560">
        <f t="shared" si="53"/>
        <v>0</v>
      </c>
      <c r="AH92" s="487">
        <f t="shared" si="53"/>
        <v>0</v>
      </c>
      <c r="AI92" s="487">
        <f t="shared" si="53"/>
        <v>0</v>
      </c>
      <c r="AJ92" s="137">
        <f t="shared" si="53"/>
        <v>99772328.118087798</v>
      </c>
    </row>
    <row r="93" spans="1:36" ht="13.5" thickTop="1" x14ac:dyDescent="0.2"/>
    <row r="97" spans="10:10" x14ac:dyDescent="0.2">
      <c r="J97" s="140"/>
    </row>
  </sheetData>
  <mergeCells count="33">
    <mergeCell ref="AJ1:AJ2"/>
    <mergeCell ref="E1:E2"/>
    <mergeCell ref="O1:O2"/>
    <mergeCell ref="P1:P2"/>
    <mergeCell ref="AA1:AA2"/>
    <mergeCell ref="M1:M2"/>
    <mergeCell ref="AB1:AB2"/>
    <mergeCell ref="N1:N2"/>
    <mergeCell ref="Q1:Q2"/>
    <mergeCell ref="AC1:AC2"/>
    <mergeCell ref="R1:R2"/>
    <mergeCell ref="S1:S2"/>
    <mergeCell ref="T1:T2"/>
    <mergeCell ref="U1:U2"/>
    <mergeCell ref="AF1:AF2"/>
    <mergeCell ref="W1:W2"/>
    <mergeCell ref="AH1:AH2"/>
    <mergeCell ref="AI1:AI2"/>
    <mergeCell ref="X1:X2"/>
    <mergeCell ref="Y1:Y2"/>
    <mergeCell ref="Z1:Z2"/>
    <mergeCell ref="AD1:AD2"/>
    <mergeCell ref="V1:V2"/>
    <mergeCell ref="AE1:AE2"/>
    <mergeCell ref="AG1:AG2"/>
    <mergeCell ref="A1:D2"/>
    <mergeCell ref="F1:F2"/>
    <mergeCell ref="J1:J2"/>
    <mergeCell ref="K1:K2"/>
    <mergeCell ref="L1:L2"/>
    <mergeCell ref="G1:G2"/>
    <mergeCell ref="H1:H2"/>
    <mergeCell ref="I1:I2"/>
  </mergeCells>
  <phoneticPr fontId="0" type="noConversion"/>
  <printOptions horizontalCentered="1"/>
  <pageMargins left="0.47244094488188981" right="0.74803149606299213" top="0.98425196850393704" bottom="0.39370078740157483" header="0.23622047244094491" footer="0.27559055118110237"/>
  <pageSetup paperSize="8" scale="70" fitToHeight="100" orientation="landscape" horizontalDpi="300" verticalDpi="300" r:id="rId1"/>
  <headerFooter alignWithMargins="0"/>
  <rowBreaks count="1" manualBreakCount="1">
    <brk id="70" max="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60"/>
  <sheetViews>
    <sheetView showGridLines="0" topLeftCell="A34" zoomScaleNormal="100" workbookViewId="0">
      <pane xSplit="11" topLeftCell="Y1" activePane="topRight" state="frozen"/>
      <selection pane="topRight" activeCell="AM46" sqref="AM46"/>
    </sheetView>
  </sheetViews>
  <sheetFormatPr defaultColWidth="9.140625" defaultRowHeight="12.75" x14ac:dyDescent="0.2"/>
  <cols>
    <col min="1" max="3" width="3" style="83" customWidth="1"/>
    <col min="4" max="4" width="52.85546875" style="3" customWidth="1"/>
    <col min="5" max="5" width="14.42578125" style="3" customWidth="1"/>
    <col min="6" max="6" width="13.5703125" style="3" hidden="1" customWidth="1"/>
    <col min="7" max="7" width="15.28515625" style="3" customWidth="1"/>
    <col min="8" max="9" width="13.7109375" style="3" customWidth="1"/>
    <col min="10" max="10" width="12.5703125" style="3" customWidth="1"/>
    <col min="11" max="11" width="14.28515625" style="3" hidden="1" customWidth="1"/>
    <col min="12" max="13" width="12.5703125" style="3" hidden="1" customWidth="1"/>
    <col min="14" max="14" width="16.42578125" style="3" hidden="1" customWidth="1"/>
    <col min="15" max="16" width="12.5703125" style="3" customWidth="1"/>
    <col min="17" max="17" width="16" style="3" customWidth="1"/>
    <col min="18" max="19" width="12.5703125" style="3" customWidth="1"/>
    <col min="20" max="20" width="14.42578125" style="3" customWidth="1"/>
    <col min="21" max="22" width="12.5703125" style="3" customWidth="1"/>
    <col min="23" max="23" width="15.42578125" style="3" customWidth="1"/>
    <col min="24" max="25" width="12.5703125" style="3" customWidth="1"/>
    <col min="26" max="26" width="15" style="3" customWidth="1"/>
    <col min="27" max="35" width="12.5703125" style="3" hidden="1" customWidth="1"/>
    <col min="36" max="36" width="16" style="3" customWidth="1"/>
    <col min="37" max="37" width="5.140625" style="3" customWidth="1"/>
    <col min="38" max="16384" width="9.140625" style="3"/>
  </cols>
  <sheetData>
    <row r="1" spans="1:36" ht="14.45" customHeight="1" thickTop="1" x14ac:dyDescent="0.2">
      <c r="A1" s="577" t="s">
        <v>164</v>
      </c>
      <c r="B1" s="578"/>
      <c r="C1" s="578"/>
      <c r="D1" s="579"/>
      <c r="E1" s="572" t="s">
        <v>235</v>
      </c>
      <c r="F1" s="572"/>
      <c r="G1" s="572" t="s">
        <v>236</v>
      </c>
      <c r="H1" s="572" t="s">
        <v>237</v>
      </c>
      <c r="I1" s="572" t="s">
        <v>238</v>
      </c>
      <c r="J1" s="572" t="s">
        <v>239</v>
      </c>
      <c r="K1" s="572"/>
      <c r="L1" s="572"/>
      <c r="M1" s="572"/>
      <c r="N1" s="572"/>
      <c r="O1" s="572" t="s">
        <v>240</v>
      </c>
      <c r="P1" s="572" t="s">
        <v>241</v>
      </c>
      <c r="Q1" s="572" t="s">
        <v>242</v>
      </c>
      <c r="R1" s="572" t="s">
        <v>243</v>
      </c>
      <c r="S1" s="572" t="s">
        <v>244</v>
      </c>
      <c r="T1" s="572" t="s">
        <v>245</v>
      </c>
      <c r="U1" s="572" t="s">
        <v>246</v>
      </c>
      <c r="V1" s="572" t="s">
        <v>247</v>
      </c>
      <c r="W1" s="572" t="s">
        <v>248</v>
      </c>
      <c r="X1" s="572" t="s">
        <v>249</v>
      </c>
      <c r="Y1" s="572" t="s">
        <v>250</v>
      </c>
      <c r="Z1" s="572" t="s">
        <v>251</v>
      </c>
      <c r="AA1" s="572"/>
      <c r="AB1" s="572"/>
      <c r="AC1" s="572"/>
      <c r="AD1" s="572"/>
      <c r="AE1" s="572"/>
      <c r="AF1" s="572"/>
      <c r="AG1" s="572"/>
      <c r="AH1" s="572"/>
      <c r="AI1" s="572"/>
      <c r="AJ1" s="575" t="s">
        <v>218</v>
      </c>
    </row>
    <row r="2" spans="1:36" ht="39.6" customHeight="1" thickBot="1" x14ac:dyDescent="0.25">
      <c r="A2" s="580"/>
      <c r="B2" s="581"/>
      <c r="C2" s="581"/>
      <c r="D2" s="582"/>
      <c r="E2" s="574"/>
      <c r="F2" s="574"/>
      <c r="G2" s="574"/>
      <c r="H2" s="574"/>
      <c r="I2" s="574"/>
      <c r="J2" s="573"/>
      <c r="K2" s="574"/>
      <c r="L2" s="574"/>
      <c r="M2" s="574"/>
      <c r="N2" s="574"/>
      <c r="O2" s="574"/>
      <c r="P2" s="574"/>
      <c r="Q2" s="574"/>
      <c r="R2" s="574"/>
      <c r="S2" s="574"/>
      <c r="T2" s="574"/>
      <c r="U2" s="574"/>
      <c r="V2" s="574"/>
      <c r="W2" s="574"/>
      <c r="X2" s="574"/>
      <c r="Y2" s="574"/>
      <c r="Z2" s="574"/>
      <c r="AA2" s="574"/>
      <c r="AB2" s="574"/>
      <c r="AC2" s="574"/>
      <c r="AD2" s="573"/>
      <c r="AE2" s="573"/>
      <c r="AF2" s="573"/>
      <c r="AG2" s="573"/>
      <c r="AH2" s="574"/>
      <c r="AI2" s="574"/>
      <c r="AJ2" s="576"/>
    </row>
    <row r="3" spans="1:36" ht="13.5" thickTop="1" x14ac:dyDescent="0.2">
      <c r="A3" s="76"/>
      <c r="B3" s="87"/>
      <c r="C3" s="77"/>
      <c r="D3" s="6" t="s">
        <v>2</v>
      </c>
      <c r="E3" s="59"/>
      <c r="F3" s="60"/>
      <c r="G3" s="60"/>
      <c r="H3" s="60"/>
      <c r="I3" s="60"/>
      <c r="J3" s="60"/>
      <c r="K3" s="60"/>
      <c r="L3" s="167"/>
      <c r="M3" s="167"/>
      <c r="N3" s="229"/>
      <c r="O3" s="177"/>
      <c r="P3" s="177"/>
      <c r="Q3" s="229"/>
      <c r="R3" s="412"/>
      <c r="S3" s="412"/>
      <c r="T3" s="229"/>
      <c r="U3" s="413"/>
      <c r="V3" s="413"/>
      <c r="W3" s="229"/>
      <c r="X3" s="417"/>
      <c r="Y3" s="417"/>
      <c r="Z3" s="229"/>
      <c r="AA3" s="171"/>
      <c r="AB3" s="171"/>
      <c r="AC3" s="229"/>
      <c r="AD3" s="531"/>
      <c r="AE3" s="531"/>
      <c r="AF3" s="561"/>
      <c r="AG3" s="561"/>
      <c r="AH3" s="488"/>
      <c r="AI3" s="488"/>
      <c r="AJ3" s="61"/>
    </row>
    <row r="4" spans="1:36" x14ac:dyDescent="0.2">
      <c r="A4" s="78" t="s">
        <v>41</v>
      </c>
      <c r="B4" s="84"/>
      <c r="C4" s="79"/>
      <c r="D4" s="64" t="s">
        <v>92</v>
      </c>
      <c r="E4" s="7">
        <v>20560500.989999998</v>
      </c>
      <c r="F4" s="9"/>
      <c r="G4" s="9">
        <v>281275415</v>
      </c>
      <c r="H4" s="9">
        <v>20736</v>
      </c>
      <c r="I4" s="9">
        <v>12050449.6</v>
      </c>
      <c r="J4" s="9">
        <v>1000000</v>
      </c>
      <c r="K4" s="9"/>
      <c r="L4" s="144"/>
      <c r="M4" s="144">
        <f>ROUND(F4*8.18%,2)</f>
        <v>0</v>
      </c>
      <c r="N4" s="230">
        <f>ROUND(F4*(1-8.18%),2)</f>
        <v>0</v>
      </c>
      <c r="O4" s="178"/>
      <c r="P4" s="178">
        <f>ROUND(G4*0.10257103%,2)</f>
        <v>288507.09000000003</v>
      </c>
      <c r="Q4" s="230">
        <f>ROUND(G4*(1-0.10257103%),2)</f>
        <v>280986907.91000003</v>
      </c>
      <c r="R4" s="335"/>
      <c r="S4" s="335">
        <f>ROUND(H4*5%,2)</f>
        <v>1036.8</v>
      </c>
      <c r="T4" s="230">
        <f>ROUND(H4*(1-5%),2)</f>
        <v>19699.2</v>
      </c>
      <c r="U4" s="363"/>
      <c r="V4" s="363">
        <f>ROUND(I4*0.0030707%,2)</f>
        <v>370.03</v>
      </c>
      <c r="W4" s="230">
        <f>ROUND(I4*(1-0.0030707%),2)</f>
        <v>12050079.57</v>
      </c>
      <c r="X4" s="349"/>
      <c r="Y4" s="349">
        <f>ROUND(J4*5%,2)</f>
        <v>50000</v>
      </c>
      <c r="Z4" s="230">
        <f>ROUND(J4*(1-5%),2)</f>
        <v>950000</v>
      </c>
      <c r="AA4" s="172"/>
      <c r="AB4" s="172">
        <f>ROUND(K4*1.31%,2)</f>
        <v>0</v>
      </c>
      <c r="AC4" s="230">
        <f>ROUND(K4*(1-1.31%),2)</f>
        <v>0</v>
      </c>
      <c r="AD4" s="508"/>
      <c r="AE4" s="508"/>
      <c r="AF4" s="539"/>
      <c r="AG4" s="539"/>
      <c r="AH4" s="467"/>
      <c r="AI4" s="467"/>
      <c r="AJ4" s="8">
        <f>SUM(E4:K4)-SUM(L4:AI4)</f>
        <v>20560500.990000069</v>
      </c>
    </row>
    <row r="5" spans="1:36" x14ac:dyDescent="0.2">
      <c r="A5" s="78" t="s">
        <v>42</v>
      </c>
      <c r="B5" s="84"/>
      <c r="C5" s="79"/>
      <c r="D5" s="64" t="s">
        <v>93</v>
      </c>
      <c r="E5" s="7">
        <f>SUM(E6:E10)</f>
        <v>28730209.409999996</v>
      </c>
      <c r="F5" s="7">
        <f t="shared" ref="F5:AJ5" si="0">SUM(F6:F10)</f>
        <v>0</v>
      </c>
      <c r="G5" s="9">
        <f t="shared" si="0"/>
        <v>55307318</v>
      </c>
      <c r="H5" s="9">
        <f t="shared" si="0"/>
        <v>51104414</v>
      </c>
      <c r="I5" s="9">
        <f t="shared" si="0"/>
        <v>1047451.96</v>
      </c>
      <c r="J5" s="9">
        <f t="shared" si="0"/>
        <v>116446</v>
      </c>
      <c r="K5" s="9">
        <f t="shared" si="0"/>
        <v>0</v>
      </c>
      <c r="L5" s="144">
        <f t="shared" si="0"/>
        <v>0</v>
      </c>
      <c r="M5" s="144">
        <f t="shared" si="0"/>
        <v>0</v>
      </c>
      <c r="N5" s="230">
        <f t="shared" ref="N5" si="1">SUM(N6:N10)</f>
        <v>0</v>
      </c>
      <c r="O5" s="178">
        <f t="shared" si="0"/>
        <v>-25.223211215990997</v>
      </c>
      <c r="P5" s="178">
        <f t="shared" si="0"/>
        <v>56729.29</v>
      </c>
      <c r="Q5" s="230">
        <f t="shared" si="0"/>
        <v>55250588.710000001</v>
      </c>
      <c r="R5" s="335">
        <f t="shared" si="0"/>
        <v>-98613.2</v>
      </c>
      <c r="S5" s="335">
        <f t="shared" si="0"/>
        <v>2555220.7000000002</v>
      </c>
      <c r="T5" s="230">
        <f t="shared" si="0"/>
        <v>48549193.299999997</v>
      </c>
      <c r="U5" s="363">
        <f t="shared" si="0"/>
        <v>-31.57</v>
      </c>
      <c r="V5" s="363">
        <f t="shared" si="0"/>
        <v>32.159999999999997</v>
      </c>
      <c r="W5" s="230">
        <f t="shared" si="0"/>
        <v>1047419.8</v>
      </c>
      <c r="X5" s="349">
        <f t="shared" si="0"/>
        <v>0</v>
      </c>
      <c r="Y5" s="349">
        <f t="shared" si="0"/>
        <v>5822.3</v>
      </c>
      <c r="Z5" s="230">
        <f t="shared" si="0"/>
        <v>110623.7</v>
      </c>
      <c r="AA5" s="172">
        <f t="shared" si="0"/>
        <v>0</v>
      </c>
      <c r="AB5" s="172">
        <f t="shared" si="0"/>
        <v>0</v>
      </c>
      <c r="AC5" s="230">
        <f t="shared" si="0"/>
        <v>0</v>
      </c>
      <c r="AD5" s="508">
        <f t="shared" si="0"/>
        <v>0</v>
      </c>
      <c r="AE5" s="508">
        <f t="shared" si="0"/>
        <v>0</v>
      </c>
      <c r="AF5" s="539">
        <f t="shared" si="0"/>
        <v>0</v>
      </c>
      <c r="AG5" s="539">
        <f t="shared" si="0"/>
        <v>0</v>
      </c>
      <c r="AH5" s="467">
        <f t="shared" si="0"/>
        <v>0</v>
      </c>
      <c r="AI5" s="467">
        <f t="shared" si="0"/>
        <v>0</v>
      </c>
      <c r="AJ5" s="8">
        <f t="shared" si="0"/>
        <v>28828879.403211199</v>
      </c>
    </row>
    <row r="6" spans="1:36" x14ac:dyDescent="0.2">
      <c r="A6" s="78"/>
      <c r="B6" s="84" t="s">
        <v>29</v>
      </c>
      <c r="C6" s="79"/>
      <c r="D6" s="64" t="s">
        <v>187</v>
      </c>
      <c r="E6" s="7">
        <v>3369899.98</v>
      </c>
      <c r="F6" s="9"/>
      <c r="G6" s="9">
        <v>55307318</v>
      </c>
      <c r="H6" s="9">
        <v>51104414</v>
      </c>
      <c r="I6" s="9">
        <v>1028419.84</v>
      </c>
      <c r="J6" s="9">
        <v>116446</v>
      </c>
      <c r="K6" s="9"/>
      <c r="L6" s="144"/>
      <c r="M6" s="144">
        <f>ROUND(F6*8.18%,2)</f>
        <v>0</v>
      </c>
      <c r="N6" s="230">
        <f>ROUND(F6*(1-8.18%),2)</f>
        <v>0</v>
      </c>
      <c r="O6" s="494">
        <f>-(24590.97*0.10257103%)</f>
        <v>-25.223211215990997</v>
      </c>
      <c r="P6" s="178">
        <f>ROUND(G6*0.10257103%,2)</f>
        <v>56729.29</v>
      </c>
      <c r="Q6" s="230">
        <f>ROUND(G6*(1-0.10257103%),2)</f>
        <v>55250588.710000001</v>
      </c>
      <c r="R6" s="505">
        <v>-98613.2</v>
      </c>
      <c r="S6" s="335">
        <f>ROUND(H6*5%,2)</f>
        <v>2555220.7000000002</v>
      </c>
      <c r="T6" s="230">
        <f>ROUND(H6*(1-5%),2)</f>
        <v>48549193.299999997</v>
      </c>
      <c r="U6" s="495">
        <v>-31.57</v>
      </c>
      <c r="V6" s="363">
        <f>ROUND(I6*0.0030707%,2)</f>
        <v>31.58</v>
      </c>
      <c r="W6" s="230">
        <f>ROUND(I6*(1-0.0030707%),2)</f>
        <v>1028388.26</v>
      </c>
      <c r="X6" s="496"/>
      <c r="Y6" s="349">
        <f>ROUND(J6*5%,2)</f>
        <v>5822.3</v>
      </c>
      <c r="Z6" s="230">
        <f>ROUND(J6*(1-5%),2)</f>
        <v>110623.7</v>
      </c>
      <c r="AA6" s="497"/>
      <c r="AB6" s="172">
        <f>ROUND(K6*1.31%,2)</f>
        <v>0</v>
      </c>
      <c r="AC6" s="230">
        <f>ROUND(K6*(1-1.31%),2)</f>
        <v>0</v>
      </c>
      <c r="AD6" s="508"/>
      <c r="AE6" s="508"/>
      <c r="AF6" s="539"/>
      <c r="AG6" s="539"/>
      <c r="AH6" s="467"/>
      <c r="AI6" s="467"/>
      <c r="AJ6" s="8">
        <f t="shared" ref="AJ6:AJ11" si="2">SUM(E6:K6)-SUM(L6:AI6)</f>
        <v>3468569.973211199</v>
      </c>
    </row>
    <row r="7" spans="1:36" x14ac:dyDescent="0.2">
      <c r="A7" s="78"/>
      <c r="B7" s="84" t="s">
        <v>30</v>
      </c>
      <c r="C7" s="79"/>
      <c r="D7" s="64" t="s">
        <v>94</v>
      </c>
      <c r="E7" s="7">
        <v>2914387.46</v>
      </c>
      <c r="F7" s="9"/>
      <c r="G7" s="9"/>
      <c r="H7" s="9"/>
      <c r="I7" s="9">
        <v>19032.12</v>
      </c>
      <c r="J7" s="9"/>
      <c r="K7" s="9"/>
      <c r="L7" s="144"/>
      <c r="M7" s="144">
        <f>ROUND(F7*8.18%,2)</f>
        <v>0</v>
      </c>
      <c r="N7" s="230">
        <f>ROUND(F7*(1-8.18%),2)</f>
        <v>0</v>
      </c>
      <c r="O7" s="178"/>
      <c r="P7" s="178">
        <f>ROUND(G7*0.10257103%,2)</f>
        <v>0</v>
      </c>
      <c r="Q7" s="230">
        <f>ROUND(G7*(1-0.10257103%),2)</f>
        <v>0</v>
      </c>
      <c r="R7" s="335"/>
      <c r="S7" s="335">
        <f>ROUND(H7*5%,2)</f>
        <v>0</v>
      </c>
      <c r="T7" s="230">
        <f>ROUND(H7*(1-5%),2)</f>
        <v>0</v>
      </c>
      <c r="U7" s="363"/>
      <c r="V7" s="363">
        <f>ROUND(I7*0.0030707%,2)</f>
        <v>0.57999999999999996</v>
      </c>
      <c r="W7" s="230">
        <f>ROUND(I7*(1-0.0030707%),2)</f>
        <v>19031.54</v>
      </c>
      <c r="X7" s="349"/>
      <c r="Y7" s="349">
        <f>ROUND(J7*5%,2)</f>
        <v>0</v>
      </c>
      <c r="Z7" s="230">
        <f>ROUND(J7*(1-5%),2)</f>
        <v>0</v>
      </c>
      <c r="AA7" s="172"/>
      <c r="AB7" s="172">
        <f>ROUND(K7*1.31%,2)</f>
        <v>0</v>
      </c>
      <c r="AC7" s="230">
        <f>ROUND(K7*(1-1.31%),2)</f>
        <v>0</v>
      </c>
      <c r="AD7" s="508"/>
      <c r="AE7" s="508"/>
      <c r="AF7" s="539"/>
      <c r="AG7" s="539"/>
      <c r="AH7" s="467"/>
      <c r="AI7" s="467"/>
      <c r="AJ7" s="8">
        <f t="shared" si="2"/>
        <v>2914387.46</v>
      </c>
    </row>
    <row r="8" spans="1:36" x14ac:dyDescent="0.2">
      <c r="A8" s="78"/>
      <c r="B8" s="84" t="s">
        <v>31</v>
      </c>
      <c r="C8" s="79"/>
      <c r="D8" s="64" t="s">
        <v>145</v>
      </c>
      <c r="E8" s="7">
        <v>2740226.23</v>
      </c>
      <c r="F8" s="9"/>
      <c r="G8" s="9"/>
      <c r="H8" s="9"/>
      <c r="I8" s="9"/>
      <c r="J8" s="9"/>
      <c r="K8" s="9"/>
      <c r="L8" s="144"/>
      <c r="M8" s="144">
        <f>ROUND(F8*8.18%,2)</f>
        <v>0</v>
      </c>
      <c r="N8" s="230">
        <f>ROUND(F8*(1-8.18%),2)</f>
        <v>0</v>
      </c>
      <c r="O8" s="178"/>
      <c r="P8" s="178">
        <f>ROUND(G8*0.10257103%,2)</f>
        <v>0</v>
      </c>
      <c r="Q8" s="230">
        <f>ROUND(G8*(1-0.10257103%),2)</f>
        <v>0</v>
      </c>
      <c r="R8" s="335"/>
      <c r="S8" s="335">
        <f>ROUND(H8*5%,2)</f>
        <v>0</v>
      </c>
      <c r="T8" s="230">
        <f>ROUND(H8*(1-5%),2)</f>
        <v>0</v>
      </c>
      <c r="U8" s="363"/>
      <c r="V8" s="363">
        <f>ROUND(I8*0.0030707%,2)</f>
        <v>0</v>
      </c>
      <c r="W8" s="230">
        <f>ROUND(I8*(1-0.0030707%),2)</f>
        <v>0</v>
      </c>
      <c r="X8" s="349"/>
      <c r="Y8" s="349">
        <f>ROUND(J8*5%,2)</f>
        <v>0</v>
      </c>
      <c r="Z8" s="230">
        <f>ROUND(J8*(1-5%),2)</f>
        <v>0</v>
      </c>
      <c r="AA8" s="172"/>
      <c r="AB8" s="172">
        <f>ROUND(K8*1.31%,2)</f>
        <v>0</v>
      </c>
      <c r="AC8" s="230">
        <f>ROUND(K8*(1-1.31%),2)</f>
        <v>0</v>
      </c>
      <c r="AD8" s="508"/>
      <c r="AE8" s="508"/>
      <c r="AF8" s="539"/>
      <c r="AG8" s="539"/>
      <c r="AH8" s="467"/>
      <c r="AI8" s="467"/>
      <c r="AJ8" s="8">
        <f t="shared" si="2"/>
        <v>2740226.23</v>
      </c>
    </row>
    <row r="9" spans="1:36" ht="25.5" x14ac:dyDescent="0.2">
      <c r="A9" s="78"/>
      <c r="B9" s="88" t="s">
        <v>32</v>
      </c>
      <c r="C9" s="80"/>
      <c r="D9" s="285" t="s">
        <v>212</v>
      </c>
      <c r="E9" s="291">
        <v>19705695.739999998</v>
      </c>
      <c r="F9" s="9"/>
      <c r="G9" s="9"/>
      <c r="H9" s="9"/>
      <c r="I9" s="9"/>
      <c r="J9" s="9"/>
      <c r="K9" s="9"/>
      <c r="L9" s="144"/>
      <c r="M9" s="144">
        <f>ROUND(F9*8.18%,2)</f>
        <v>0</v>
      </c>
      <c r="N9" s="230">
        <f>ROUND(F9*(1-8.18%),2)</f>
        <v>0</v>
      </c>
      <c r="O9" s="178"/>
      <c r="P9" s="178">
        <f>ROUND(G9*0.10257103%,2)</f>
        <v>0</v>
      </c>
      <c r="Q9" s="230">
        <f>ROUND(G9*(1-0.10257103%),2)</f>
        <v>0</v>
      </c>
      <c r="R9" s="335"/>
      <c r="S9" s="335">
        <f>ROUND(H9*5%,2)</f>
        <v>0</v>
      </c>
      <c r="T9" s="230">
        <f>ROUND(H9*(1-5%),2)</f>
        <v>0</v>
      </c>
      <c r="U9" s="363"/>
      <c r="V9" s="363">
        <f>ROUND(I9*0.0030707%,2)</f>
        <v>0</v>
      </c>
      <c r="W9" s="230">
        <f>ROUND(I9*(1-0.0030707%),2)</f>
        <v>0</v>
      </c>
      <c r="X9" s="349"/>
      <c r="Y9" s="349">
        <f>ROUND(J9*5%,2)</f>
        <v>0</v>
      </c>
      <c r="Z9" s="230">
        <f>ROUND(J9*(1-5%),2)</f>
        <v>0</v>
      </c>
      <c r="AA9" s="172"/>
      <c r="AB9" s="172">
        <f>ROUND(K9*1.31%,2)</f>
        <v>0</v>
      </c>
      <c r="AC9" s="230">
        <f>ROUND(K9*(1-1.31%),2)</f>
        <v>0</v>
      </c>
      <c r="AD9" s="508"/>
      <c r="AE9" s="508"/>
      <c r="AF9" s="539"/>
      <c r="AG9" s="539"/>
      <c r="AH9" s="467"/>
      <c r="AI9" s="467"/>
      <c r="AJ9" s="8">
        <f t="shared" si="2"/>
        <v>19705695.739999998</v>
      </c>
    </row>
    <row r="10" spans="1:36" ht="15" x14ac:dyDescent="0.2">
      <c r="A10" s="78"/>
      <c r="B10" s="88" t="s">
        <v>33</v>
      </c>
      <c r="C10" s="80"/>
      <c r="D10" s="64" t="s">
        <v>213</v>
      </c>
      <c r="E10" s="7"/>
      <c r="F10" s="9"/>
      <c r="G10" s="9"/>
      <c r="H10" s="9"/>
      <c r="I10" s="9"/>
      <c r="J10" s="9"/>
      <c r="K10" s="9"/>
      <c r="L10" s="144"/>
      <c r="M10" s="144">
        <f>ROUND(F10*8.18%,2)</f>
        <v>0</v>
      </c>
      <c r="N10" s="230">
        <f>ROUND(F10*(1-8.18%),2)</f>
        <v>0</v>
      </c>
      <c r="O10" s="178"/>
      <c r="P10" s="178">
        <f>ROUND(G10*0.10257103%,2)</f>
        <v>0</v>
      </c>
      <c r="Q10" s="230">
        <f>ROUND(G10*(1-0.10257103%),2)</f>
        <v>0</v>
      </c>
      <c r="R10" s="335"/>
      <c r="S10" s="335">
        <f>ROUND(H10*5%,2)</f>
        <v>0</v>
      </c>
      <c r="T10" s="230">
        <f>ROUND(H10*(1-5%),2)</f>
        <v>0</v>
      </c>
      <c r="U10" s="363"/>
      <c r="V10" s="363">
        <f>ROUND(I10*0.0030707%,2)</f>
        <v>0</v>
      </c>
      <c r="W10" s="230">
        <f>ROUND(I10*(1-0.0030707%),2)</f>
        <v>0</v>
      </c>
      <c r="X10" s="349"/>
      <c r="Y10" s="349">
        <f>ROUND(J10*5%,2)</f>
        <v>0</v>
      </c>
      <c r="Z10" s="230">
        <f>ROUND(J10*(1-5%),2)</f>
        <v>0</v>
      </c>
      <c r="AA10" s="172"/>
      <c r="AB10" s="172">
        <f>ROUND(K10*1.31%,2)</f>
        <v>0</v>
      </c>
      <c r="AC10" s="230">
        <f>ROUND(K10*(1-1.31%),2)</f>
        <v>0</v>
      </c>
      <c r="AD10" s="508"/>
      <c r="AE10" s="508"/>
      <c r="AF10" s="539"/>
      <c r="AG10" s="539"/>
      <c r="AH10" s="467"/>
      <c r="AI10" s="467"/>
      <c r="AJ10" s="8">
        <f t="shared" si="2"/>
        <v>0</v>
      </c>
    </row>
    <row r="11" spans="1:36" x14ac:dyDescent="0.2">
      <c r="A11" s="78" t="s">
        <v>44</v>
      </c>
      <c r="B11" s="84"/>
      <c r="C11" s="79"/>
      <c r="D11" s="64" t="s">
        <v>55</v>
      </c>
      <c r="E11" s="7">
        <f>C.ECONOMICO!D77</f>
        <v>6307384.9000000013</v>
      </c>
      <c r="F11" s="9">
        <f>C.ECONOMICO!E77</f>
        <v>0</v>
      </c>
      <c r="G11" s="9">
        <f>C.ECONOMICO!F77</f>
        <v>4875489</v>
      </c>
      <c r="H11" s="9">
        <f>C.ECONOMICO!G77</f>
        <v>708964</v>
      </c>
      <c r="I11" s="9">
        <f>C.ECONOMICO!H77</f>
        <v>1274894.0299999977</v>
      </c>
      <c r="J11" s="9">
        <f>C.ECONOMICO!I77</f>
        <v>17337</v>
      </c>
      <c r="K11" s="9">
        <f>C.ECONOMICO!J77</f>
        <v>0</v>
      </c>
      <c r="L11" s="144">
        <f>C.ECONOMICO!K77</f>
        <v>0</v>
      </c>
      <c r="M11" s="144">
        <f>C.ECONOMICO!L77</f>
        <v>0</v>
      </c>
      <c r="N11" s="230">
        <f>C.ECONOMICO!M77</f>
        <v>0</v>
      </c>
      <c r="O11" s="178">
        <f>C.ECONOMICO!N77</f>
        <v>-86.690593365485981</v>
      </c>
      <c r="P11" s="178">
        <f>C.ECONOMICO!O77</f>
        <v>86.690593365485981</v>
      </c>
      <c r="Q11" s="230">
        <f>C.ECONOMICO!P77</f>
        <v>4870488.1600000439</v>
      </c>
      <c r="R11" s="335">
        <f>C.ECONOMICO!Q77</f>
        <v>-172.20000000000002</v>
      </c>
      <c r="S11" s="335">
        <f>C.ECONOMICO!R77</f>
        <v>172.20000000000002</v>
      </c>
      <c r="T11" s="230">
        <f>C.ECONOMICO!S77</f>
        <v>673515.79999999632</v>
      </c>
      <c r="U11" s="363">
        <f>C.ECONOMICO!T77</f>
        <v>-0.23572996225000001</v>
      </c>
      <c r="V11" s="363">
        <f>C.ECONOMICO!U77</f>
        <v>0.23572996225000001</v>
      </c>
      <c r="W11" s="230">
        <f>C.ECONOMICO!V77</f>
        <v>1274854.9100000018</v>
      </c>
      <c r="X11" s="349">
        <f>C.ECONOMICO!W77</f>
        <v>-14428.177500000002</v>
      </c>
      <c r="Y11" s="349">
        <f>C.ECONOMICO!X77</f>
        <v>14428.177500000002</v>
      </c>
      <c r="Z11" s="230">
        <f>C.ECONOMICO!Y77</f>
        <v>16470.149999999994</v>
      </c>
      <c r="AA11" s="172">
        <f>C.ECONOMICO!Z77</f>
        <v>0</v>
      </c>
      <c r="AB11" s="172">
        <f>C.ECONOMICO!AA77</f>
        <v>0</v>
      </c>
      <c r="AC11" s="230">
        <f>C.ECONOMICO!AB77</f>
        <v>0</v>
      </c>
      <c r="AD11" s="508">
        <f>C.ECONOMICO!AC77</f>
        <v>0</v>
      </c>
      <c r="AE11" s="508">
        <f>C.ECONOMICO!AD77</f>
        <v>0</v>
      </c>
      <c r="AF11" s="539">
        <f>C.ECONOMICO!AE77</f>
        <v>0</v>
      </c>
      <c r="AG11" s="539">
        <f>C.ECONOMICO!AF77</f>
        <v>0</v>
      </c>
      <c r="AH11" s="467">
        <f>C.ECONOMICO!AG77</f>
        <v>0</v>
      </c>
      <c r="AI11" s="467">
        <f>C.ECONOMICO!AH77</f>
        <v>0</v>
      </c>
      <c r="AJ11" s="8">
        <f t="shared" si="2"/>
        <v>6348739.9099999573</v>
      </c>
    </row>
    <row r="12" spans="1:36" x14ac:dyDescent="0.2">
      <c r="A12" s="78"/>
      <c r="B12" s="84"/>
      <c r="C12" s="79"/>
      <c r="D12" s="65" t="s">
        <v>172</v>
      </c>
      <c r="E12" s="55">
        <f>E4+E5+E11</f>
        <v>55598095.29999999</v>
      </c>
      <c r="F12" s="55">
        <f t="shared" ref="F12:AJ12" si="3">F4+F5+F11</f>
        <v>0</v>
      </c>
      <c r="G12" s="55">
        <f t="shared" si="3"/>
        <v>341458222</v>
      </c>
      <c r="H12" s="55">
        <f t="shared" si="3"/>
        <v>51834114</v>
      </c>
      <c r="I12" s="55">
        <f t="shared" si="3"/>
        <v>14372795.589999996</v>
      </c>
      <c r="J12" s="55">
        <f t="shared" si="3"/>
        <v>1133783</v>
      </c>
      <c r="K12" s="55">
        <f t="shared" si="3"/>
        <v>0</v>
      </c>
      <c r="L12" s="168">
        <f t="shared" si="3"/>
        <v>0</v>
      </c>
      <c r="M12" s="168">
        <f t="shared" si="3"/>
        <v>0</v>
      </c>
      <c r="N12" s="231">
        <f t="shared" ref="N12" si="4">N4+N5+N11</f>
        <v>0</v>
      </c>
      <c r="O12" s="179">
        <f t="shared" si="3"/>
        <v>-111.91380458147698</v>
      </c>
      <c r="P12" s="179">
        <f t="shared" si="3"/>
        <v>345323.07059336547</v>
      </c>
      <c r="Q12" s="231">
        <f t="shared" si="3"/>
        <v>341107984.78000003</v>
      </c>
      <c r="R12" s="409">
        <f t="shared" si="3"/>
        <v>-98785.4</v>
      </c>
      <c r="S12" s="409">
        <f t="shared" si="3"/>
        <v>2556429.7000000002</v>
      </c>
      <c r="T12" s="231">
        <f t="shared" si="3"/>
        <v>49242408.299999997</v>
      </c>
      <c r="U12" s="414">
        <f t="shared" si="3"/>
        <v>-31.805729962250002</v>
      </c>
      <c r="V12" s="414">
        <f t="shared" si="3"/>
        <v>402.42572996224993</v>
      </c>
      <c r="W12" s="231">
        <f t="shared" si="3"/>
        <v>14372354.280000003</v>
      </c>
      <c r="X12" s="418">
        <f t="shared" si="3"/>
        <v>-14428.177500000002</v>
      </c>
      <c r="Y12" s="418">
        <f t="shared" si="3"/>
        <v>70250.477500000008</v>
      </c>
      <c r="Z12" s="231">
        <f t="shared" si="3"/>
        <v>1077093.8499999999</v>
      </c>
      <c r="AA12" s="173">
        <f t="shared" si="3"/>
        <v>0</v>
      </c>
      <c r="AB12" s="173">
        <f t="shared" si="3"/>
        <v>0</v>
      </c>
      <c r="AC12" s="231">
        <f t="shared" si="3"/>
        <v>0</v>
      </c>
      <c r="AD12" s="532">
        <f t="shared" si="3"/>
        <v>0</v>
      </c>
      <c r="AE12" s="532">
        <f t="shared" si="3"/>
        <v>0</v>
      </c>
      <c r="AF12" s="562">
        <f t="shared" si="3"/>
        <v>0</v>
      </c>
      <c r="AG12" s="562">
        <f t="shared" si="3"/>
        <v>0</v>
      </c>
      <c r="AH12" s="489">
        <f t="shared" si="3"/>
        <v>0</v>
      </c>
      <c r="AI12" s="489">
        <f t="shared" si="3"/>
        <v>0</v>
      </c>
      <c r="AJ12" s="55">
        <f t="shared" si="3"/>
        <v>55738120.303211227</v>
      </c>
    </row>
    <row r="13" spans="1:36" x14ac:dyDescent="0.2">
      <c r="A13" s="78"/>
      <c r="B13" s="84"/>
      <c r="C13" s="79"/>
      <c r="D13" s="66" t="s">
        <v>169</v>
      </c>
      <c r="E13" s="7"/>
      <c r="F13" s="9"/>
      <c r="G13" s="9"/>
      <c r="H13" s="9"/>
      <c r="I13" s="9"/>
      <c r="J13" s="9"/>
      <c r="K13" s="9"/>
      <c r="L13" s="144"/>
      <c r="M13" s="144"/>
      <c r="N13" s="230"/>
      <c r="O13" s="178"/>
      <c r="P13" s="178"/>
      <c r="Q13" s="230"/>
      <c r="R13" s="335"/>
      <c r="S13" s="335"/>
      <c r="T13" s="230"/>
      <c r="U13" s="363"/>
      <c r="V13" s="363"/>
      <c r="W13" s="230"/>
      <c r="X13" s="349"/>
      <c r="Y13" s="349"/>
      <c r="Z13" s="230"/>
      <c r="AA13" s="172"/>
      <c r="AB13" s="172"/>
      <c r="AC13" s="230"/>
      <c r="AD13" s="508"/>
      <c r="AE13" s="508"/>
      <c r="AF13" s="539"/>
      <c r="AG13" s="539"/>
      <c r="AH13" s="467"/>
      <c r="AI13" s="467"/>
      <c r="AJ13" s="8">
        <f>SUM(E13:K13)-SUM(L13:AI13)</f>
        <v>0</v>
      </c>
    </row>
    <row r="14" spans="1:36" x14ac:dyDescent="0.2">
      <c r="A14" s="78"/>
      <c r="B14" s="84"/>
      <c r="C14" s="79"/>
      <c r="D14" s="64" t="s">
        <v>170</v>
      </c>
      <c r="E14" s="7"/>
      <c r="F14" s="9"/>
      <c r="G14" s="9"/>
      <c r="H14" s="9"/>
      <c r="I14" s="9"/>
      <c r="J14" s="9"/>
      <c r="K14" s="9"/>
      <c r="L14" s="144"/>
      <c r="M14" s="144"/>
      <c r="N14" s="230"/>
      <c r="O14" s="178"/>
      <c r="P14" s="178"/>
      <c r="Q14" s="230"/>
      <c r="R14" s="335"/>
      <c r="S14" s="335"/>
      <c r="T14" s="230"/>
      <c r="U14" s="363"/>
      <c r="V14" s="363"/>
      <c r="W14" s="230"/>
      <c r="X14" s="349"/>
      <c r="Y14" s="349"/>
      <c r="Z14" s="230"/>
      <c r="AA14" s="172"/>
      <c r="AB14" s="172"/>
      <c r="AC14" s="230"/>
      <c r="AD14" s="508"/>
      <c r="AE14" s="508"/>
      <c r="AF14" s="539"/>
      <c r="AG14" s="539"/>
      <c r="AH14" s="467"/>
      <c r="AI14" s="467"/>
      <c r="AJ14" s="8">
        <f>SUM(E14:K14)-SUM(L14:AI14)</f>
        <v>0</v>
      </c>
    </row>
    <row r="15" spans="1:36" x14ac:dyDescent="0.2">
      <c r="A15" s="78"/>
      <c r="B15" s="84"/>
      <c r="C15" s="79"/>
      <c r="D15" s="67" t="s">
        <v>171</v>
      </c>
      <c r="E15" s="7">
        <f>+E13+E14</f>
        <v>0</v>
      </c>
      <c r="F15" s="9"/>
      <c r="G15" s="9">
        <f>G13+G14</f>
        <v>0</v>
      </c>
      <c r="H15" s="9">
        <f t="shared" ref="H15:J15" si="5">H13+H14</f>
        <v>0</v>
      </c>
      <c r="I15" s="9">
        <f t="shared" si="5"/>
        <v>0</v>
      </c>
      <c r="J15" s="9">
        <f t="shared" si="5"/>
        <v>0</v>
      </c>
      <c r="K15" s="9">
        <f>K13+K14</f>
        <v>0</v>
      </c>
      <c r="L15" s="144"/>
      <c r="M15" s="144">
        <f>M13+M14</f>
        <v>0</v>
      </c>
      <c r="N15" s="230">
        <f>N13+N14</f>
        <v>0</v>
      </c>
      <c r="O15" s="178"/>
      <c r="P15" s="178"/>
      <c r="Q15" s="230"/>
      <c r="R15" s="335"/>
      <c r="S15" s="335"/>
      <c r="T15" s="230"/>
      <c r="U15" s="363"/>
      <c r="V15" s="363"/>
      <c r="W15" s="230"/>
      <c r="X15" s="349"/>
      <c r="Y15" s="349"/>
      <c r="Z15" s="230"/>
      <c r="AA15" s="172"/>
      <c r="AB15" s="172"/>
      <c r="AC15" s="230"/>
      <c r="AD15" s="508"/>
      <c r="AE15" s="508"/>
      <c r="AF15" s="539"/>
      <c r="AG15" s="539"/>
      <c r="AH15" s="467"/>
      <c r="AI15" s="467"/>
      <c r="AJ15" s="8">
        <f>SUM(E15:K15)-SUM(L15:AI15)</f>
        <v>0</v>
      </c>
    </row>
    <row r="16" spans="1:36" ht="15" x14ac:dyDescent="0.2">
      <c r="A16" s="78"/>
      <c r="B16" s="84"/>
      <c r="C16" s="79"/>
      <c r="D16" s="57" t="s">
        <v>219</v>
      </c>
      <c r="E16" s="55">
        <f>E12</f>
        <v>55598095.29999999</v>
      </c>
      <c r="F16" s="55">
        <f>F12</f>
        <v>0</v>
      </c>
      <c r="G16" s="55">
        <f t="shared" ref="G16:AJ16" si="6">G12</f>
        <v>341458222</v>
      </c>
      <c r="H16" s="55">
        <f t="shared" si="6"/>
        <v>51834114</v>
      </c>
      <c r="I16" s="55">
        <f t="shared" si="6"/>
        <v>14372795.589999996</v>
      </c>
      <c r="J16" s="55">
        <f t="shared" si="6"/>
        <v>1133783</v>
      </c>
      <c r="K16" s="55">
        <f t="shared" si="6"/>
        <v>0</v>
      </c>
      <c r="L16" s="168">
        <f t="shared" si="6"/>
        <v>0</v>
      </c>
      <c r="M16" s="168">
        <f>M12</f>
        <v>0</v>
      </c>
      <c r="N16" s="231">
        <f>N12</f>
        <v>0</v>
      </c>
      <c r="O16" s="179">
        <f t="shared" si="6"/>
        <v>-111.91380458147698</v>
      </c>
      <c r="P16" s="179">
        <f t="shared" si="6"/>
        <v>345323.07059336547</v>
      </c>
      <c r="Q16" s="231">
        <f t="shared" si="6"/>
        <v>341107984.78000003</v>
      </c>
      <c r="R16" s="409">
        <f t="shared" si="6"/>
        <v>-98785.4</v>
      </c>
      <c r="S16" s="409">
        <f t="shared" si="6"/>
        <v>2556429.7000000002</v>
      </c>
      <c r="T16" s="231">
        <f t="shared" si="6"/>
        <v>49242408.299999997</v>
      </c>
      <c r="U16" s="414">
        <f t="shared" si="6"/>
        <v>-31.805729962250002</v>
      </c>
      <c r="V16" s="414">
        <f t="shared" si="6"/>
        <v>402.42572996224993</v>
      </c>
      <c r="W16" s="231">
        <f t="shared" si="6"/>
        <v>14372354.280000003</v>
      </c>
      <c r="X16" s="418">
        <f t="shared" si="6"/>
        <v>-14428.177500000002</v>
      </c>
      <c r="Y16" s="418">
        <f t="shared" si="6"/>
        <v>70250.477500000008</v>
      </c>
      <c r="Z16" s="231">
        <f t="shared" si="6"/>
        <v>1077093.8499999999</v>
      </c>
      <c r="AA16" s="173">
        <f t="shared" si="6"/>
        <v>0</v>
      </c>
      <c r="AB16" s="173">
        <f t="shared" si="6"/>
        <v>0</v>
      </c>
      <c r="AC16" s="231">
        <f t="shared" si="6"/>
        <v>0</v>
      </c>
      <c r="AD16" s="532">
        <f t="shared" si="6"/>
        <v>0</v>
      </c>
      <c r="AE16" s="532">
        <f t="shared" si="6"/>
        <v>0</v>
      </c>
      <c r="AF16" s="562">
        <f t="shared" si="6"/>
        <v>0</v>
      </c>
      <c r="AG16" s="562">
        <f t="shared" si="6"/>
        <v>0</v>
      </c>
      <c r="AH16" s="489">
        <f t="shared" si="6"/>
        <v>0</v>
      </c>
      <c r="AI16" s="489">
        <f t="shared" si="6"/>
        <v>0</v>
      </c>
      <c r="AJ16" s="55">
        <f t="shared" si="6"/>
        <v>55738120.303211227</v>
      </c>
    </row>
    <row r="17" spans="1:36" x14ac:dyDescent="0.2">
      <c r="A17" s="78"/>
      <c r="B17" s="84"/>
      <c r="C17" s="79"/>
      <c r="D17" s="4"/>
      <c r="E17" s="7"/>
      <c r="F17" s="9"/>
      <c r="G17" s="9"/>
      <c r="H17" s="9"/>
      <c r="I17" s="9"/>
      <c r="J17" s="9"/>
      <c r="K17" s="9"/>
      <c r="L17" s="144"/>
      <c r="M17" s="144"/>
      <c r="N17" s="230"/>
      <c r="O17" s="178"/>
      <c r="P17" s="178"/>
      <c r="Q17" s="230"/>
      <c r="R17" s="335"/>
      <c r="S17" s="335"/>
      <c r="T17" s="230"/>
      <c r="U17" s="363"/>
      <c r="V17" s="363"/>
      <c r="W17" s="230"/>
      <c r="X17" s="349"/>
      <c r="Y17" s="349"/>
      <c r="Z17" s="230"/>
      <c r="AA17" s="172"/>
      <c r="AB17" s="172"/>
      <c r="AC17" s="230"/>
      <c r="AD17" s="508"/>
      <c r="AE17" s="508"/>
      <c r="AF17" s="539"/>
      <c r="AG17" s="539"/>
      <c r="AH17" s="467"/>
      <c r="AI17" s="467"/>
      <c r="AJ17" s="8"/>
    </row>
    <row r="18" spans="1:36" x14ac:dyDescent="0.2">
      <c r="A18" s="78"/>
      <c r="B18" s="84"/>
      <c r="C18" s="79"/>
      <c r="D18" s="53" t="s">
        <v>43</v>
      </c>
      <c r="E18" s="7"/>
      <c r="F18" s="9"/>
      <c r="G18" s="9"/>
      <c r="H18" s="9"/>
      <c r="I18" s="9"/>
      <c r="J18" s="9"/>
      <c r="K18" s="9"/>
      <c r="L18" s="144"/>
      <c r="M18" s="144"/>
      <c r="N18" s="230"/>
      <c r="O18" s="178"/>
      <c r="P18" s="178"/>
      <c r="Q18" s="230"/>
      <c r="R18" s="335"/>
      <c r="S18" s="335"/>
      <c r="T18" s="230"/>
      <c r="U18" s="363"/>
      <c r="V18" s="363"/>
      <c r="W18" s="230"/>
      <c r="X18" s="349"/>
      <c r="Y18" s="349"/>
      <c r="Z18" s="230"/>
      <c r="AA18" s="172"/>
      <c r="AB18" s="172"/>
      <c r="AC18" s="230"/>
      <c r="AD18" s="508"/>
      <c r="AE18" s="508"/>
      <c r="AF18" s="539"/>
      <c r="AG18" s="539"/>
      <c r="AH18" s="467"/>
      <c r="AI18" s="467"/>
      <c r="AJ18" s="8"/>
    </row>
    <row r="19" spans="1:36" x14ac:dyDescent="0.2">
      <c r="A19" s="78"/>
      <c r="B19" s="84">
        <v>1</v>
      </c>
      <c r="C19" s="79"/>
      <c r="D19" s="4" t="s">
        <v>81</v>
      </c>
      <c r="E19" s="7"/>
      <c r="F19" s="9"/>
      <c r="G19" s="9"/>
      <c r="H19" s="9"/>
      <c r="I19" s="9"/>
      <c r="J19" s="9"/>
      <c r="K19" s="9"/>
      <c r="L19" s="144"/>
      <c r="M19" s="144"/>
      <c r="N19" s="230">
        <f>ROUND(F19*(1-8.18%),2)</f>
        <v>0</v>
      </c>
      <c r="O19" s="178"/>
      <c r="P19" s="178"/>
      <c r="Q19" s="230">
        <f>ROUND(G19*(1-0.10257103%),2)</f>
        <v>0</v>
      </c>
      <c r="R19" s="335"/>
      <c r="S19" s="335"/>
      <c r="T19" s="230">
        <f>ROUND(H19*(1-5%),2)</f>
        <v>0</v>
      </c>
      <c r="U19" s="363"/>
      <c r="V19" s="363"/>
      <c r="W19" s="230">
        <f>ROUND(I19*(1-0.0030707%),2)</f>
        <v>0</v>
      </c>
      <c r="X19" s="349"/>
      <c r="Y19" s="349"/>
      <c r="Z19" s="230">
        <f>ROUND(J19*(1-5%),2)</f>
        <v>0</v>
      </c>
      <c r="AA19" s="172"/>
      <c r="AB19" s="172"/>
      <c r="AC19" s="230">
        <f>ROUND(K19*(1-1.31%),2)</f>
        <v>0</v>
      </c>
      <c r="AD19" s="508"/>
      <c r="AE19" s="508"/>
      <c r="AF19" s="539"/>
      <c r="AG19" s="539"/>
      <c r="AH19" s="467"/>
      <c r="AI19" s="467"/>
      <c r="AJ19" s="8">
        <f>SUM(E19:K19)-SUM(L19:AI19)</f>
        <v>0</v>
      </c>
    </row>
    <row r="20" spans="1:36" x14ac:dyDescent="0.2">
      <c r="A20" s="78"/>
      <c r="B20" s="84">
        <v>2</v>
      </c>
      <c r="C20" s="79"/>
      <c r="D20" s="4" t="s">
        <v>157</v>
      </c>
      <c r="E20" s="7"/>
      <c r="F20" s="9"/>
      <c r="G20" s="9">
        <v>523341</v>
      </c>
      <c r="H20" s="9"/>
      <c r="I20" s="9"/>
      <c r="J20" s="9">
        <v>205587</v>
      </c>
      <c r="K20" s="9"/>
      <c r="L20" s="144"/>
      <c r="M20" s="144"/>
      <c r="N20" s="230">
        <f>ROUND(F20*(1-8.18%),2)</f>
        <v>0</v>
      </c>
      <c r="O20" s="178"/>
      <c r="P20" s="178"/>
      <c r="Q20" s="230">
        <f>ROUND(G20*(1-0.10257103%),2)</f>
        <v>522804.2</v>
      </c>
      <c r="R20" s="335"/>
      <c r="S20" s="335"/>
      <c r="T20" s="230">
        <f>ROUND(H20*(1-5%),2)</f>
        <v>0</v>
      </c>
      <c r="U20" s="363"/>
      <c r="V20" s="363"/>
      <c r="W20" s="230">
        <f>ROUND(I20*(1-0.0030707%),2)</f>
        <v>0</v>
      </c>
      <c r="X20" s="349"/>
      <c r="Y20" s="349"/>
      <c r="Z20" s="230">
        <f>ROUND(J20*(1-5%),2)</f>
        <v>195307.65</v>
      </c>
      <c r="AA20" s="172"/>
      <c r="AB20" s="172"/>
      <c r="AC20" s="230">
        <f>ROUND(K20*(1-1.31%),2)</f>
        <v>0</v>
      </c>
      <c r="AD20" s="508"/>
      <c r="AE20" s="508"/>
      <c r="AF20" s="539"/>
      <c r="AG20" s="539"/>
      <c r="AH20" s="467"/>
      <c r="AI20" s="467"/>
      <c r="AJ20" s="8">
        <f>SUM(E20:K20)-SUM(L20:AI20)</f>
        <v>10816.150000000023</v>
      </c>
    </row>
    <row r="21" spans="1:36" x14ac:dyDescent="0.2">
      <c r="A21" s="78"/>
      <c r="B21" s="84">
        <v>3</v>
      </c>
      <c r="C21" s="79"/>
      <c r="D21" s="4" t="s">
        <v>62</v>
      </c>
      <c r="E21" s="7">
        <v>312804.96000000002</v>
      </c>
      <c r="F21" s="9"/>
      <c r="G21" s="9">
        <v>103907846</v>
      </c>
      <c r="H21" s="9">
        <v>18333615</v>
      </c>
      <c r="I21" s="9"/>
      <c r="J21" s="9">
        <v>8058019</v>
      </c>
      <c r="K21" s="9"/>
      <c r="L21" s="144"/>
      <c r="M21" s="144"/>
      <c r="N21" s="230">
        <f>ROUND(F21*(1-8.18%),2)</f>
        <v>0</v>
      </c>
      <c r="O21" s="178"/>
      <c r="P21" s="178"/>
      <c r="Q21" s="230">
        <f>ROUND(G21*(1-0.10257103%),2)</f>
        <v>103801266.65000001</v>
      </c>
      <c r="R21" s="335"/>
      <c r="S21" s="335"/>
      <c r="T21" s="230">
        <f>ROUND(H21*(1-5%),2)</f>
        <v>17416934.25</v>
      </c>
      <c r="U21" s="363"/>
      <c r="V21" s="363"/>
      <c r="W21" s="230">
        <f>ROUND(I21*(1-0.0030707%),2)</f>
        <v>0</v>
      </c>
      <c r="X21" s="349"/>
      <c r="Y21" s="349"/>
      <c r="Z21" s="230">
        <f>ROUND(J21*(1-5%),2)</f>
        <v>7655118.0499999998</v>
      </c>
      <c r="AA21" s="172"/>
      <c r="AB21" s="172"/>
      <c r="AC21" s="230">
        <f>ROUND(K21*(1-1.31%),2)</f>
        <v>0</v>
      </c>
      <c r="AD21" s="508"/>
      <c r="AE21" s="508"/>
      <c r="AF21" s="539"/>
      <c r="AG21" s="539"/>
      <c r="AH21" s="467"/>
      <c r="AI21" s="467"/>
      <c r="AJ21" s="8">
        <f>SUM(E21:K21)-SUM(L21:AI21)</f>
        <v>1738966.0099999905</v>
      </c>
    </row>
    <row r="22" spans="1:36" x14ac:dyDescent="0.2">
      <c r="A22" s="78"/>
      <c r="B22" s="84">
        <v>4</v>
      </c>
      <c r="C22" s="79"/>
      <c r="D22" s="4" t="s">
        <v>165</v>
      </c>
      <c r="E22" s="7"/>
      <c r="F22" s="139"/>
      <c r="G22" s="9"/>
      <c r="H22" s="9"/>
      <c r="I22" s="9"/>
      <c r="J22" s="9"/>
      <c r="K22" s="9"/>
      <c r="L22" s="499"/>
      <c r="M22" s="493"/>
      <c r="N22" s="230">
        <f>ROUND(F22*(1-8.18%),2)</f>
        <v>0</v>
      </c>
      <c r="O22" s="500"/>
      <c r="P22" s="494"/>
      <c r="Q22" s="230">
        <f>ROUND(G22*(1-0.10257103%),2)</f>
        <v>0</v>
      </c>
      <c r="R22" s="335"/>
      <c r="S22" s="505"/>
      <c r="T22" s="230">
        <f>ROUND(H22*(1-5%),2)</f>
        <v>0</v>
      </c>
      <c r="U22" s="363"/>
      <c r="V22" s="495"/>
      <c r="W22" s="230">
        <f>ROUND(I22*(1-0.0030707%),2)</f>
        <v>0</v>
      </c>
      <c r="X22" s="501"/>
      <c r="Y22" s="496"/>
      <c r="Z22" s="230">
        <f>ROUND(J22*(1-5%),2)</f>
        <v>0</v>
      </c>
      <c r="AA22" s="502"/>
      <c r="AB22" s="497"/>
      <c r="AC22" s="230">
        <f>ROUND(K22*(1-1.31%),2)</f>
        <v>0</v>
      </c>
      <c r="AD22" s="508"/>
      <c r="AE22" s="508"/>
      <c r="AF22" s="539"/>
      <c r="AG22" s="539"/>
      <c r="AH22" s="467"/>
      <c r="AI22" s="467"/>
      <c r="AJ22" s="8">
        <f>SUM(E22:K22)-SUM(L22:AI22)</f>
        <v>0</v>
      </c>
    </row>
    <row r="23" spans="1:36" x14ac:dyDescent="0.2">
      <c r="A23" s="78"/>
      <c r="B23" s="84"/>
      <c r="C23" s="79"/>
      <c r="D23" s="53"/>
      <c r="E23" s="7"/>
      <c r="F23" s="9"/>
      <c r="G23" s="9"/>
      <c r="H23" s="9"/>
      <c r="I23" s="9"/>
      <c r="J23" s="9"/>
      <c r="K23" s="9"/>
      <c r="L23" s="144"/>
      <c r="M23" s="144"/>
      <c r="N23" s="230"/>
      <c r="O23" s="178"/>
      <c r="P23" s="178"/>
      <c r="Q23" s="230"/>
      <c r="R23" s="335"/>
      <c r="S23" s="335"/>
      <c r="T23" s="230">
        <f>ROUND(H23*(1-5%),2)</f>
        <v>0</v>
      </c>
      <c r="U23" s="363"/>
      <c r="V23" s="363"/>
      <c r="W23" s="230">
        <f>ROUND(I23*(1-0.0030707%),2)</f>
        <v>0</v>
      </c>
      <c r="X23" s="349"/>
      <c r="Y23" s="349"/>
      <c r="Z23" s="230">
        <f>ROUND(J23*(1-5%),2)</f>
        <v>0</v>
      </c>
      <c r="AA23" s="172"/>
      <c r="AB23" s="172"/>
      <c r="AC23" s="230">
        <f>ROUND(K23*(1-1.31%),2)</f>
        <v>0</v>
      </c>
      <c r="AD23" s="508"/>
      <c r="AE23" s="508"/>
      <c r="AF23" s="539"/>
      <c r="AG23" s="539"/>
      <c r="AH23" s="467"/>
      <c r="AI23" s="467"/>
      <c r="AJ23" s="8"/>
    </row>
    <row r="24" spans="1:36" x14ac:dyDescent="0.2">
      <c r="A24" s="78"/>
      <c r="B24" s="84"/>
      <c r="C24" s="79"/>
      <c r="D24" s="57" t="s">
        <v>49</v>
      </c>
      <c r="E24" s="55">
        <f>+E19+E20+E21+E22</f>
        <v>312804.96000000002</v>
      </c>
      <c r="F24" s="55">
        <f t="shared" ref="F24:AJ24" si="7">+F19+F20+F21+F22</f>
        <v>0</v>
      </c>
      <c r="G24" s="55">
        <f t="shared" si="7"/>
        <v>104431187</v>
      </c>
      <c r="H24" s="55">
        <f t="shared" si="7"/>
        <v>18333615</v>
      </c>
      <c r="I24" s="55">
        <f t="shared" si="7"/>
        <v>0</v>
      </c>
      <c r="J24" s="55">
        <f t="shared" si="7"/>
        <v>8263606</v>
      </c>
      <c r="K24" s="55">
        <f t="shared" si="7"/>
        <v>0</v>
      </c>
      <c r="L24" s="168">
        <f t="shared" si="7"/>
        <v>0</v>
      </c>
      <c r="M24" s="168">
        <f t="shared" si="7"/>
        <v>0</v>
      </c>
      <c r="N24" s="231">
        <f t="shared" ref="N24" si="8">+N19+N20+N21+N22</f>
        <v>0</v>
      </c>
      <c r="O24" s="179">
        <f t="shared" si="7"/>
        <v>0</v>
      </c>
      <c r="P24" s="179">
        <f t="shared" si="7"/>
        <v>0</v>
      </c>
      <c r="Q24" s="231">
        <f t="shared" si="7"/>
        <v>104324070.85000001</v>
      </c>
      <c r="R24" s="409">
        <f t="shared" si="7"/>
        <v>0</v>
      </c>
      <c r="S24" s="409">
        <f t="shared" si="7"/>
        <v>0</v>
      </c>
      <c r="T24" s="231">
        <f t="shared" si="7"/>
        <v>17416934.25</v>
      </c>
      <c r="U24" s="414">
        <f t="shared" si="7"/>
        <v>0</v>
      </c>
      <c r="V24" s="414">
        <f t="shared" si="7"/>
        <v>0</v>
      </c>
      <c r="W24" s="231">
        <f t="shared" si="7"/>
        <v>0</v>
      </c>
      <c r="X24" s="418">
        <f t="shared" si="7"/>
        <v>0</v>
      </c>
      <c r="Y24" s="418">
        <f t="shared" si="7"/>
        <v>0</v>
      </c>
      <c r="Z24" s="231">
        <f t="shared" si="7"/>
        <v>7850425.7000000002</v>
      </c>
      <c r="AA24" s="173">
        <f t="shared" si="7"/>
        <v>0</v>
      </c>
      <c r="AB24" s="173">
        <f t="shared" si="7"/>
        <v>0</v>
      </c>
      <c r="AC24" s="231">
        <f t="shared" si="7"/>
        <v>0</v>
      </c>
      <c r="AD24" s="532">
        <f t="shared" si="7"/>
        <v>0</v>
      </c>
      <c r="AE24" s="532">
        <f t="shared" si="7"/>
        <v>0</v>
      </c>
      <c r="AF24" s="562">
        <f t="shared" si="7"/>
        <v>0</v>
      </c>
      <c r="AG24" s="562">
        <f t="shared" si="7"/>
        <v>0</v>
      </c>
      <c r="AH24" s="489">
        <f t="shared" si="7"/>
        <v>0</v>
      </c>
      <c r="AI24" s="489">
        <f t="shared" si="7"/>
        <v>0</v>
      </c>
      <c r="AJ24" s="55">
        <f t="shared" si="7"/>
        <v>1749782.1599999904</v>
      </c>
    </row>
    <row r="25" spans="1:36" x14ac:dyDescent="0.2">
      <c r="A25" s="78"/>
      <c r="B25" s="84"/>
      <c r="C25" s="79"/>
      <c r="D25" s="13"/>
      <c r="E25" s="7"/>
      <c r="F25" s="9"/>
      <c r="G25" s="9"/>
      <c r="H25" s="9"/>
      <c r="I25" s="9"/>
      <c r="J25" s="9"/>
      <c r="K25" s="9"/>
      <c r="L25" s="144"/>
      <c r="M25" s="144"/>
      <c r="N25" s="230"/>
      <c r="O25" s="178"/>
      <c r="P25" s="178"/>
      <c r="Q25" s="230"/>
      <c r="R25" s="335"/>
      <c r="S25" s="335"/>
      <c r="T25" s="230"/>
      <c r="U25" s="363"/>
      <c r="V25" s="363"/>
      <c r="W25" s="230"/>
      <c r="X25" s="349"/>
      <c r="Y25" s="349"/>
      <c r="Z25" s="230"/>
      <c r="AA25" s="172"/>
      <c r="AB25" s="172"/>
      <c r="AC25" s="230"/>
      <c r="AD25" s="508"/>
      <c r="AE25" s="508"/>
      <c r="AF25" s="539"/>
      <c r="AG25" s="539"/>
      <c r="AH25" s="467"/>
      <c r="AI25" s="467"/>
      <c r="AJ25" s="8"/>
    </row>
    <row r="26" spans="1:36" x14ac:dyDescent="0.2">
      <c r="A26" s="78"/>
      <c r="B26" s="84"/>
      <c r="C26" s="79"/>
      <c r="D26" s="56" t="s">
        <v>82</v>
      </c>
      <c r="E26" s="7"/>
      <c r="F26" s="9"/>
      <c r="G26" s="9">
        <v>1862303</v>
      </c>
      <c r="H26" s="9">
        <v>2026513</v>
      </c>
      <c r="I26" s="9"/>
      <c r="J26" s="9">
        <v>3313499</v>
      </c>
      <c r="K26" s="9"/>
      <c r="L26" s="144"/>
      <c r="M26" s="144"/>
      <c r="N26" s="230">
        <f>ROUND(F26*(1-8.18%),2)</f>
        <v>0</v>
      </c>
      <c r="O26" s="178"/>
      <c r="P26" s="178"/>
      <c r="Q26" s="230">
        <f>ROUND(G26*(1-0.10257103%),2)</f>
        <v>1860392.82</v>
      </c>
      <c r="R26" s="335"/>
      <c r="S26" s="335"/>
      <c r="T26" s="230">
        <f>ROUND(H26*(1-5%),2)</f>
        <v>1925187.35</v>
      </c>
      <c r="U26" s="363"/>
      <c r="V26" s="363"/>
      <c r="W26" s="230">
        <f>ROUND(I26*(1-0.0030707%),2)</f>
        <v>0</v>
      </c>
      <c r="X26" s="349"/>
      <c r="Y26" s="349"/>
      <c r="Z26" s="230">
        <f>ROUND(J26*(1-5%),2)</f>
        <v>3147824.05</v>
      </c>
      <c r="AA26" s="172"/>
      <c r="AB26" s="172"/>
      <c r="AC26" s="230">
        <f>ROUND(K26*(1-1.31%),2)</f>
        <v>0</v>
      </c>
      <c r="AD26" s="508"/>
      <c r="AE26" s="508"/>
      <c r="AF26" s="539"/>
      <c r="AG26" s="539"/>
      <c r="AH26" s="467"/>
      <c r="AI26" s="467"/>
      <c r="AJ26" s="8">
        <f>SUM(E26:K26)-SUM(L26:AI26)</f>
        <v>268910.78000000026</v>
      </c>
    </row>
    <row r="27" spans="1:36" x14ac:dyDescent="0.2">
      <c r="A27" s="78"/>
      <c r="B27" s="84"/>
      <c r="C27" s="79"/>
      <c r="D27" s="13" t="s">
        <v>160</v>
      </c>
      <c r="E27" s="55">
        <f>+E26</f>
        <v>0</v>
      </c>
      <c r="F27" s="55">
        <f t="shared" ref="F27:AJ27" si="9">+F26</f>
        <v>0</v>
      </c>
      <c r="G27" s="55">
        <f t="shared" si="9"/>
        <v>1862303</v>
      </c>
      <c r="H27" s="55">
        <f t="shared" si="9"/>
        <v>2026513</v>
      </c>
      <c r="I27" s="55">
        <f t="shared" si="9"/>
        <v>0</v>
      </c>
      <c r="J27" s="55">
        <f t="shared" si="9"/>
        <v>3313499</v>
      </c>
      <c r="K27" s="55">
        <f t="shared" si="9"/>
        <v>0</v>
      </c>
      <c r="L27" s="168">
        <f t="shared" si="9"/>
        <v>0</v>
      </c>
      <c r="M27" s="168">
        <f t="shared" si="9"/>
        <v>0</v>
      </c>
      <c r="N27" s="231">
        <f t="shared" ref="N27" si="10">+N26</f>
        <v>0</v>
      </c>
      <c r="O27" s="179">
        <f t="shared" si="9"/>
        <v>0</v>
      </c>
      <c r="P27" s="179">
        <f t="shared" si="9"/>
        <v>0</v>
      </c>
      <c r="Q27" s="231">
        <f t="shared" si="9"/>
        <v>1860392.82</v>
      </c>
      <c r="R27" s="409">
        <f t="shared" si="9"/>
        <v>0</v>
      </c>
      <c r="S27" s="409">
        <f t="shared" si="9"/>
        <v>0</v>
      </c>
      <c r="T27" s="231">
        <f t="shared" si="9"/>
        <v>1925187.35</v>
      </c>
      <c r="U27" s="414">
        <f t="shared" si="9"/>
        <v>0</v>
      </c>
      <c r="V27" s="414">
        <f t="shared" si="9"/>
        <v>0</v>
      </c>
      <c r="W27" s="231">
        <f t="shared" si="9"/>
        <v>0</v>
      </c>
      <c r="X27" s="418">
        <f t="shared" si="9"/>
        <v>0</v>
      </c>
      <c r="Y27" s="418">
        <f t="shared" si="9"/>
        <v>0</v>
      </c>
      <c r="Z27" s="231">
        <f t="shared" si="9"/>
        <v>3147824.05</v>
      </c>
      <c r="AA27" s="173">
        <f t="shared" si="9"/>
        <v>0</v>
      </c>
      <c r="AB27" s="173">
        <f t="shared" si="9"/>
        <v>0</v>
      </c>
      <c r="AC27" s="231">
        <f t="shared" si="9"/>
        <v>0</v>
      </c>
      <c r="AD27" s="532">
        <f t="shared" si="9"/>
        <v>0</v>
      </c>
      <c r="AE27" s="532">
        <f t="shared" si="9"/>
        <v>0</v>
      </c>
      <c r="AF27" s="562">
        <f t="shared" si="9"/>
        <v>0</v>
      </c>
      <c r="AG27" s="562">
        <f t="shared" si="9"/>
        <v>0</v>
      </c>
      <c r="AH27" s="489">
        <f t="shared" si="9"/>
        <v>0</v>
      </c>
      <c r="AI27" s="489">
        <f t="shared" si="9"/>
        <v>0</v>
      </c>
      <c r="AJ27" s="55">
        <f t="shared" si="9"/>
        <v>268910.78000000026</v>
      </c>
    </row>
    <row r="28" spans="1:36" ht="15" x14ac:dyDescent="0.2">
      <c r="A28" s="78"/>
      <c r="B28" s="84"/>
      <c r="C28" s="79"/>
      <c r="D28" s="6" t="s">
        <v>220</v>
      </c>
      <c r="E28" s="7"/>
      <c r="F28" s="9"/>
      <c r="G28" s="9"/>
      <c r="H28" s="9"/>
      <c r="I28" s="9"/>
      <c r="J28" s="9"/>
      <c r="K28" s="9"/>
      <c r="L28" s="144"/>
      <c r="M28" s="144"/>
      <c r="N28" s="230"/>
      <c r="O28" s="178"/>
      <c r="P28" s="178"/>
      <c r="Q28" s="230"/>
      <c r="R28" s="335"/>
      <c r="S28" s="335"/>
      <c r="T28" s="230"/>
      <c r="U28" s="363"/>
      <c r="V28" s="363"/>
      <c r="W28" s="230"/>
      <c r="X28" s="349"/>
      <c r="Y28" s="349"/>
      <c r="Z28" s="230"/>
      <c r="AA28" s="172"/>
      <c r="AB28" s="172"/>
      <c r="AC28" s="230"/>
      <c r="AD28" s="508"/>
      <c r="AE28" s="508"/>
      <c r="AF28" s="539"/>
      <c r="AG28" s="539"/>
      <c r="AH28" s="467"/>
      <c r="AI28" s="467"/>
      <c r="AJ28" s="8"/>
    </row>
    <row r="29" spans="1:36" x14ac:dyDescent="0.2">
      <c r="A29" s="78"/>
      <c r="B29" s="84">
        <v>1</v>
      </c>
      <c r="C29" s="79"/>
      <c r="D29" s="4" t="s">
        <v>109</v>
      </c>
      <c r="E29" s="7">
        <f>SUM(E30:E33)</f>
        <v>0</v>
      </c>
      <c r="F29" s="7">
        <f t="shared" ref="F29:AJ29" si="11">SUM(F30:F33)</f>
        <v>0</v>
      </c>
      <c r="G29" s="7">
        <f t="shared" si="11"/>
        <v>203229842</v>
      </c>
      <c r="H29" s="7">
        <f t="shared" si="11"/>
        <v>222708050</v>
      </c>
      <c r="I29" s="7">
        <f t="shared" si="11"/>
        <v>0</v>
      </c>
      <c r="J29" s="7">
        <f t="shared" si="11"/>
        <v>0</v>
      </c>
      <c r="K29" s="7">
        <f t="shared" si="11"/>
        <v>0</v>
      </c>
      <c r="L29" s="143">
        <f t="shared" si="11"/>
        <v>0</v>
      </c>
      <c r="M29" s="143">
        <f t="shared" si="11"/>
        <v>0</v>
      </c>
      <c r="N29" s="232">
        <f t="shared" ref="N29" si="12">SUM(N30:N33)</f>
        <v>0</v>
      </c>
      <c r="O29" s="180">
        <f t="shared" si="11"/>
        <v>0</v>
      </c>
      <c r="P29" s="180">
        <f t="shared" si="11"/>
        <v>0</v>
      </c>
      <c r="Q29" s="232">
        <f t="shared" si="11"/>
        <v>203021387.05000001</v>
      </c>
      <c r="R29" s="334">
        <f t="shared" si="11"/>
        <v>0</v>
      </c>
      <c r="S29" s="334">
        <f t="shared" si="11"/>
        <v>0</v>
      </c>
      <c r="T29" s="232">
        <f t="shared" si="11"/>
        <v>211572647.5</v>
      </c>
      <c r="U29" s="362">
        <f t="shared" si="11"/>
        <v>0</v>
      </c>
      <c r="V29" s="362">
        <f t="shared" si="11"/>
        <v>0</v>
      </c>
      <c r="W29" s="232">
        <f t="shared" si="11"/>
        <v>0</v>
      </c>
      <c r="X29" s="348">
        <f t="shared" si="11"/>
        <v>0</v>
      </c>
      <c r="Y29" s="348">
        <f t="shared" si="11"/>
        <v>0</v>
      </c>
      <c r="Z29" s="232">
        <f t="shared" si="11"/>
        <v>0</v>
      </c>
      <c r="AA29" s="174">
        <f t="shared" si="11"/>
        <v>0</v>
      </c>
      <c r="AB29" s="174">
        <f t="shared" si="11"/>
        <v>0</v>
      </c>
      <c r="AC29" s="232">
        <f t="shared" si="11"/>
        <v>0</v>
      </c>
      <c r="AD29" s="533"/>
      <c r="AE29" s="533"/>
      <c r="AF29" s="563"/>
      <c r="AG29" s="563"/>
      <c r="AH29" s="490">
        <f t="shared" si="11"/>
        <v>0</v>
      </c>
      <c r="AI29" s="490">
        <f t="shared" si="11"/>
        <v>0</v>
      </c>
      <c r="AJ29" s="7">
        <f t="shared" si="11"/>
        <v>11343857.45000001</v>
      </c>
    </row>
    <row r="30" spans="1:36" x14ac:dyDescent="0.2">
      <c r="A30" s="78"/>
      <c r="B30" s="84"/>
      <c r="C30" s="79" t="s">
        <v>108</v>
      </c>
      <c r="D30" s="4" t="s">
        <v>159</v>
      </c>
      <c r="E30" s="7"/>
      <c r="F30" s="9"/>
      <c r="G30" s="9"/>
      <c r="H30" s="9"/>
      <c r="I30" s="9"/>
      <c r="J30" s="9"/>
      <c r="K30" s="9"/>
      <c r="L30" s="144"/>
      <c r="M30" s="144"/>
      <c r="N30" s="230">
        <f t="shared" ref="N30:N35" si="13">ROUND(F30*(1-8.18%),2)</f>
        <v>0</v>
      </c>
      <c r="O30" s="178"/>
      <c r="P30" s="178"/>
      <c r="Q30" s="230">
        <f t="shared" ref="Q30:Q35" si="14">ROUND(G30*(1-0.10257103%),2)</f>
        <v>0</v>
      </c>
      <c r="R30" s="335"/>
      <c r="S30" s="335"/>
      <c r="T30" s="230">
        <f t="shared" ref="T30:T35" si="15">ROUND(H30*(1-5%),2)</f>
        <v>0</v>
      </c>
      <c r="U30" s="363"/>
      <c r="V30" s="363"/>
      <c r="W30" s="230">
        <f t="shared" ref="W30:W35" si="16">ROUND(I30*(1-0.0030707%),2)</f>
        <v>0</v>
      </c>
      <c r="X30" s="349"/>
      <c r="Y30" s="349"/>
      <c r="Z30" s="230">
        <f t="shared" ref="Z30:Z35" si="17">ROUND(J30*(1-5%),2)</f>
        <v>0</v>
      </c>
      <c r="AA30" s="172"/>
      <c r="AB30" s="172"/>
      <c r="AC30" s="230">
        <f t="shared" ref="AC30:AC35" si="18">ROUND(K30*(1-1.31%),2)</f>
        <v>0</v>
      </c>
      <c r="AD30" s="508"/>
      <c r="AE30" s="508"/>
      <c r="AF30" s="539"/>
      <c r="AG30" s="539"/>
      <c r="AH30" s="467"/>
      <c r="AI30" s="467"/>
      <c r="AJ30" s="8">
        <f t="shared" ref="AJ30:AJ35" si="19">SUM(E30:K30)-SUM(L30:AI30)</f>
        <v>0</v>
      </c>
    </row>
    <row r="31" spans="1:36" x14ac:dyDescent="0.2">
      <c r="A31" s="78"/>
      <c r="B31" s="84"/>
      <c r="C31" s="79" t="s">
        <v>30</v>
      </c>
      <c r="D31" s="4" t="s">
        <v>110</v>
      </c>
      <c r="E31" s="7"/>
      <c r="F31" s="9"/>
      <c r="G31" s="9"/>
      <c r="H31" s="9"/>
      <c r="I31" s="9"/>
      <c r="J31" s="9"/>
      <c r="K31" s="9"/>
      <c r="L31" s="144"/>
      <c r="M31" s="144"/>
      <c r="N31" s="230">
        <f t="shared" si="13"/>
        <v>0</v>
      </c>
      <c r="O31" s="178"/>
      <c r="P31" s="178"/>
      <c r="Q31" s="230">
        <f t="shared" si="14"/>
        <v>0</v>
      </c>
      <c r="R31" s="335"/>
      <c r="S31" s="335"/>
      <c r="T31" s="230">
        <f t="shared" si="15"/>
        <v>0</v>
      </c>
      <c r="U31" s="363"/>
      <c r="V31" s="363"/>
      <c r="W31" s="230">
        <f t="shared" si="16"/>
        <v>0</v>
      </c>
      <c r="X31" s="349"/>
      <c r="Y31" s="349"/>
      <c r="Z31" s="230">
        <f t="shared" si="17"/>
        <v>0</v>
      </c>
      <c r="AA31" s="172"/>
      <c r="AB31" s="172"/>
      <c r="AC31" s="230">
        <f t="shared" si="18"/>
        <v>0</v>
      </c>
      <c r="AD31" s="508"/>
      <c r="AE31" s="508"/>
      <c r="AF31" s="539"/>
      <c r="AG31" s="539"/>
      <c r="AH31" s="467"/>
      <c r="AI31" s="467"/>
      <c r="AJ31" s="8">
        <f t="shared" si="19"/>
        <v>0</v>
      </c>
    </row>
    <row r="32" spans="1:36" x14ac:dyDescent="0.2">
      <c r="A32" s="78"/>
      <c r="B32" s="84"/>
      <c r="C32" s="79" t="s">
        <v>31</v>
      </c>
      <c r="D32" s="4" t="s">
        <v>83</v>
      </c>
      <c r="E32" s="7"/>
      <c r="F32" s="9"/>
      <c r="G32" s="9">
        <v>53488336</v>
      </c>
      <c r="H32" s="9">
        <v>849956</v>
      </c>
      <c r="I32" s="9"/>
      <c r="J32" s="9"/>
      <c r="K32" s="9"/>
      <c r="L32" s="144"/>
      <c r="M32" s="144"/>
      <c r="N32" s="230">
        <f t="shared" si="13"/>
        <v>0</v>
      </c>
      <c r="O32" s="178"/>
      <c r="P32" s="178"/>
      <c r="Q32" s="230">
        <f t="shared" si="14"/>
        <v>53433472.460000001</v>
      </c>
      <c r="R32" s="335"/>
      <c r="S32" s="335"/>
      <c r="T32" s="230">
        <f t="shared" si="15"/>
        <v>807458.2</v>
      </c>
      <c r="U32" s="363"/>
      <c r="V32" s="363"/>
      <c r="W32" s="230">
        <f t="shared" si="16"/>
        <v>0</v>
      </c>
      <c r="X32" s="349"/>
      <c r="Y32" s="349"/>
      <c r="Z32" s="230">
        <f t="shared" si="17"/>
        <v>0</v>
      </c>
      <c r="AA32" s="172"/>
      <c r="AB32" s="172"/>
      <c r="AC32" s="230">
        <f t="shared" si="18"/>
        <v>0</v>
      </c>
      <c r="AD32" s="508"/>
      <c r="AE32" s="508"/>
      <c r="AF32" s="539"/>
      <c r="AG32" s="539"/>
      <c r="AH32" s="467"/>
      <c r="AI32" s="467"/>
      <c r="AJ32" s="8">
        <f t="shared" si="19"/>
        <v>97361.339999996126</v>
      </c>
    </row>
    <row r="33" spans="1:36" x14ac:dyDescent="0.2">
      <c r="A33" s="78"/>
      <c r="B33" s="89"/>
      <c r="C33" s="79" t="s">
        <v>32</v>
      </c>
      <c r="D33" s="4" t="s">
        <v>84</v>
      </c>
      <c r="E33" s="7"/>
      <c r="F33" s="9"/>
      <c r="G33" s="9">
        <v>149741506</v>
      </c>
      <c r="H33" s="9">
        <v>221858094</v>
      </c>
      <c r="I33" s="9"/>
      <c r="J33" s="9"/>
      <c r="K33" s="9"/>
      <c r="L33" s="144"/>
      <c r="M33" s="144"/>
      <c r="N33" s="230">
        <f t="shared" si="13"/>
        <v>0</v>
      </c>
      <c r="O33" s="178"/>
      <c r="P33" s="178"/>
      <c r="Q33" s="230">
        <f t="shared" si="14"/>
        <v>149587914.59</v>
      </c>
      <c r="R33" s="335"/>
      <c r="S33" s="335"/>
      <c r="T33" s="230">
        <f t="shared" si="15"/>
        <v>210765189.30000001</v>
      </c>
      <c r="U33" s="363"/>
      <c r="V33" s="363"/>
      <c r="W33" s="230">
        <f t="shared" si="16"/>
        <v>0</v>
      </c>
      <c r="X33" s="349"/>
      <c r="Y33" s="349"/>
      <c r="Z33" s="230">
        <f t="shared" si="17"/>
        <v>0</v>
      </c>
      <c r="AA33" s="172"/>
      <c r="AB33" s="172"/>
      <c r="AC33" s="230">
        <f t="shared" si="18"/>
        <v>0</v>
      </c>
      <c r="AD33" s="508"/>
      <c r="AE33" s="508"/>
      <c r="AF33" s="539"/>
      <c r="AG33" s="539"/>
      <c r="AH33" s="467"/>
      <c r="AI33" s="467"/>
      <c r="AJ33" s="8">
        <f t="shared" si="19"/>
        <v>11246496.110000014</v>
      </c>
    </row>
    <row r="34" spans="1:36" x14ac:dyDescent="0.2">
      <c r="A34" s="78"/>
      <c r="B34" s="84">
        <v>2</v>
      </c>
      <c r="C34" s="79"/>
      <c r="D34" s="4" t="s">
        <v>111</v>
      </c>
      <c r="E34" s="7">
        <v>2424891.3199999998</v>
      </c>
      <c r="F34" s="9"/>
      <c r="G34" s="9">
        <v>109528521</v>
      </c>
      <c r="H34" s="9">
        <v>2913033</v>
      </c>
      <c r="I34" s="9">
        <v>108165.95</v>
      </c>
      <c r="J34" s="9">
        <v>9705171</v>
      </c>
      <c r="K34" s="9"/>
      <c r="L34" s="144"/>
      <c r="M34" s="144"/>
      <c r="N34" s="230">
        <f t="shared" si="13"/>
        <v>0</v>
      </c>
      <c r="O34" s="178">
        <f>34374.63*0.10257103%</f>
        <v>35.258412049688992</v>
      </c>
      <c r="P34" s="178"/>
      <c r="Q34" s="230">
        <f t="shared" si="14"/>
        <v>109416176.47</v>
      </c>
      <c r="R34" s="335"/>
      <c r="S34" s="335"/>
      <c r="T34" s="230">
        <f t="shared" si="15"/>
        <v>2767381.35</v>
      </c>
      <c r="U34" s="363"/>
      <c r="V34" s="363"/>
      <c r="W34" s="230">
        <f t="shared" si="16"/>
        <v>108162.63</v>
      </c>
      <c r="X34" s="349">
        <f>59569.87*5%</f>
        <v>2978.4935000000005</v>
      </c>
      <c r="Y34" s="349"/>
      <c r="Z34" s="230">
        <f t="shared" si="17"/>
        <v>9219912.4499999993</v>
      </c>
      <c r="AA34" s="172"/>
      <c r="AB34" s="172"/>
      <c r="AC34" s="230">
        <f t="shared" si="18"/>
        <v>0</v>
      </c>
      <c r="AD34" s="508"/>
      <c r="AE34" s="508"/>
      <c r="AF34" s="539"/>
      <c r="AG34" s="539"/>
      <c r="AH34" s="467"/>
      <c r="AI34" s="467"/>
      <c r="AJ34" s="8">
        <f t="shared" si="19"/>
        <v>3165135.6180879623</v>
      </c>
    </row>
    <row r="35" spans="1:36" x14ac:dyDescent="0.2">
      <c r="A35" s="78"/>
      <c r="B35" s="84">
        <v>3</v>
      </c>
      <c r="C35" s="79"/>
      <c r="D35" s="4" t="s">
        <v>112</v>
      </c>
      <c r="E35" s="7"/>
      <c r="F35" s="9"/>
      <c r="G35" s="9">
        <v>59877050</v>
      </c>
      <c r="H35" s="9"/>
      <c r="I35" s="9"/>
      <c r="J35" s="9"/>
      <c r="K35" s="9"/>
      <c r="L35" s="144"/>
      <c r="M35" s="144"/>
      <c r="N35" s="230">
        <f t="shared" si="13"/>
        <v>0</v>
      </c>
      <c r="O35" s="178"/>
      <c r="P35" s="178">
        <f>24590.97*0.10257103%</f>
        <v>25.223211215990997</v>
      </c>
      <c r="Q35" s="230">
        <f t="shared" si="14"/>
        <v>59815633.490000002</v>
      </c>
      <c r="R35" s="335"/>
      <c r="S35" s="335"/>
      <c r="T35" s="230">
        <f t="shared" si="15"/>
        <v>0</v>
      </c>
      <c r="U35" s="363"/>
      <c r="V35" s="363"/>
      <c r="W35" s="230">
        <f t="shared" si="16"/>
        <v>0</v>
      </c>
      <c r="X35" s="349"/>
      <c r="Y35" s="349"/>
      <c r="Z35" s="230">
        <f t="shared" si="17"/>
        <v>0</v>
      </c>
      <c r="AA35" s="172"/>
      <c r="AB35" s="172"/>
      <c r="AC35" s="230">
        <f t="shared" si="18"/>
        <v>0</v>
      </c>
      <c r="AD35" s="508"/>
      <c r="AE35" s="508"/>
      <c r="AF35" s="539"/>
      <c r="AG35" s="539"/>
      <c r="AH35" s="467"/>
      <c r="AI35" s="467"/>
      <c r="AJ35" s="8">
        <f t="shared" si="19"/>
        <v>61391.286788783967</v>
      </c>
    </row>
    <row r="36" spans="1:36" x14ac:dyDescent="0.2">
      <c r="A36" s="78"/>
      <c r="B36" s="89">
        <v>4</v>
      </c>
      <c r="C36" s="90"/>
      <c r="D36" s="12" t="s">
        <v>146</v>
      </c>
      <c r="E36" s="7">
        <f>SUM(E37:E41)</f>
        <v>788077.15</v>
      </c>
      <c r="F36" s="7">
        <f t="shared" ref="F36:AJ36" si="20">SUM(F37:F41)</f>
        <v>0</v>
      </c>
      <c r="G36" s="9">
        <f t="shared" si="20"/>
        <v>94599232</v>
      </c>
      <c r="H36" s="9">
        <f t="shared" si="20"/>
        <v>37259016</v>
      </c>
      <c r="I36" s="9">
        <f t="shared" si="20"/>
        <v>4966471.5999999996</v>
      </c>
      <c r="J36" s="9">
        <f t="shared" si="20"/>
        <v>55383500</v>
      </c>
      <c r="K36" s="9">
        <f t="shared" si="20"/>
        <v>0</v>
      </c>
      <c r="L36" s="144">
        <f t="shared" si="20"/>
        <v>0</v>
      </c>
      <c r="M36" s="144">
        <f t="shared" si="20"/>
        <v>0</v>
      </c>
      <c r="N36" s="230">
        <f t="shared" ref="N36" si="21">SUM(N37:N41)</f>
        <v>0</v>
      </c>
      <c r="O36" s="178">
        <f t="shared" si="20"/>
        <v>0</v>
      </c>
      <c r="P36" s="178">
        <f t="shared" si="20"/>
        <v>0</v>
      </c>
      <c r="Q36" s="230">
        <f t="shared" si="20"/>
        <v>94502200.590000004</v>
      </c>
      <c r="R36" s="335">
        <f t="shared" si="20"/>
        <v>0</v>
      </c>
      <c r="S36" s="335">
        <f t="shared" si="20"/>
        <v>0</v>
      </c>
      <c r="T36" s="230">
        <f t="shared" si="20"/>
        <v>35396065.200000003</v>
      </c>
      <c r="U36" s="363">
        <f t="shared" si="20"/>
        <v>0</v>
      </c>
      <c r="V36" s="363">
        <f t="shared" si="20"/>
        <v>0</v>
      </c>
      <c r="W36" s="230">
        <f t="shared" si="20"/>
        <v>4966319.09</v>
      </c>
      <c r="X36" s="349">
        <f t="shared" si="20"/>
        <v>0</v>
      </c>
      <c r="Y36" s="349">
        <f t="shared" si="20"/>
        <v>0</v>
      </c>
      <c r="Z36" s="230">
        <f t="shared" si="20"/>
        <v>52614325</v>
      </c>
      <c r="AA36" s="172">
        <f t="shared" si="20"/>
        <v>0</v>
      </c>
      <c r="AB36" s="172">
        <f t="shared" si="20"/>
        <v>0</v>
      </c>
      <c r="AC36" s="230">
        <f t="shared" si="20"/>
        <v>0</v>
      </c>
      <c r="AD36" s="508"/>
      <c r="AE36" s="508"/>
      <c r="AF36" s="539"/>
      <c r="AG36" s="539"/>
      <c r="AH36" s="467">
        <f t="shared" si="20"/>
        <v>0</v>
      </c>
      <c r="AI36" s="467">
        <f t="shared" si="20"/>
        <v>0</v>
      </c>
      <c r="AJ36" s="8">
        <f t="shared" si="20"/>
        <v>5517386.8699999936</v>
      </c>
    </row>
    <row r="37" spans="1:36" x14ac:dyDescent="0.2">
      <c r="A37" s="78"/>
      <c r="B37" s="89"/>
      <c r="C37" s="79" t="s">
        <v>29</v>
      </c>
      <c r="D37" s="12" t="s">
        <v>188</v>
      </c>
      <c r="E37" s="7"/>
      <c r="F37" s="9"/>
      <c r="G37" s="9"/>
      <c r="H37" s="9"/>
      <c r="I37" s="9"/>
      <c r="J37" s="9"/>
      <c r="K37" s="9"/>
      <c r="L37" s="144"/>
      <c r="M37" s="144"/>
      <c r="N37" s="230">
        <f>ROUND(F37*(1-8.18%),2)</f>
        <v>0</v>
      </c>
      <c r="O37" s="178"/>
      <c r="P37" s="178"/>
      <c r="Q37" s="230">
        <f>ROUND(G37*(1-0.10257103%),2)</f>
        <v>0</v>
      </c>
      <c r="R37" s="335"/>
      <c r="S37" s="335"/>
      <c r="T37" s="230">
        <f>ROUND(H37*(1-5%),2)</f>
        <v>0</v>
      </c>
      <c r="U37" s="363"/>
      <c r="V37" s="363"/>
      <c r="W37" s="230">
        <f>ROUND(I37*(1-0.0030707%),2)</f>
        <v>0</v>
      </c>
      <c r="X37" s="349"/>
      <c r="Y37" s="349"/>
      <c r="Z37" s="230">
        <f>ROUND(J37*(1-5%),2)</f>
        <v>0</v>
      </c>
      <c r="AA37" s="172"/>
      <c r="AB37" s="172"/>
      <c r="AC37" s="230">
        <f>ROUND(K37*(1-1.31%),2)</f>
        <v>0</v>
      </c>
      <c r="AD37" s="508"/>
      <c r="AE37" s="508"/>
      <c r="AF37" s="539"/>
      <c r="AG37" s="539"/>
      <c r="AH37" s="467"/>
      <c r="AI37" s="467"/>
      <c r="AJ37" s="8">
        <f>SUM(E37:K37)-SUM(L37:AI37)</f>
        <v>0</v>
      </c>
    </row>
    <row r="38" spans="1:36" x14ac:dyDescent="0.2">
      <c r="A38" s="78"/>
      <c r="B38" s="89"/>
      <c r="C38" s="79" t="s">
        <v>30</v>
      </c>
      <c r="D38" s="12" t="s">
        <v>105</v>
      </c>
      <c r="E38" s="7">
        <v>593196.25</v>
      </c>
      <c r="F38" s="9"/>
      <c r="G38" s="9">
        <v>94599232</v>
      </c>
      <c r="H38" s="9"/>
      <c r="I38" s="9"/>
      <c r="J38" s="9"/>
      <c r="K38" s="9"/>
      <c r="L38" s="144"/>
      <c r="M38" s="144"/>
      <c r="N38" s="230">
        <f>ROUND(F38*(1-8.18%),2)</f>
        <v>0</v>
      </c>
      <c r="O38" s="178"/>
      <c r="P38" s="178"/>
      <c r="Q38" s="230">
        <f>ROUND(G38*(1-0.10257103%),2)</f>
        <v>94502200.590000004</v>
      </c>
      <c r="R38" s="335"/>
      <c r="S38" s="335"/>
      <c r="T38" s="230">
        <f>ROUND(H38*(1-5%),2)</f>
        <v>0</v>
      </c>
      <c r="U38" s="363"/>
      <c r="V38" s="363"/>
      <c r="W38" s="230">
        <f>ROUND(I38*(1-0.0030707%),2)</f>
        <v>0</v>
      </c>
      <c r="X38" s="349"/>
      <c r="Y38" s="349"/>
      <c r="Z38" s="230">
        <f>ROUND(J38*(1-5%),2)</f>
        <v>0</v>
      </c>
      <c r="AA38" s="172"/>
      <c r="AB38" s="172"/>
      <c r="AC38" s="230">
        <f>ROUND(K38*(1-1.31%),2)</f>
        <v>0</v>
      </c>
      <c r="AD38" s="508"/>
      <c r="AE38" s="508"/>
      <c r="AF38" s="539"/>
      <c r="AG38" s="539"/>
      <c r="AH38" s="467"/>
      <c r="AI38" s="467"/>
      <c r="AJ38" s="8">
        <f>SUM(E38:K38)-SUM(L38:AI38)</f>
        <v>690227.65999999642</v>
      </c>
    </row>
    <row r="39" spans="1:36" x14ac:dyDescent="0.2">
      <c r="A39" s="78"/>
      <c r="B39" s="84"/>
      <c r="C39" s="79" t="s">
        <v>31</v>
      </c>
      <c r="D39" s="4" t="s">
        <v>88</v>
      </c>
      <c r="E39" s="7"/>
      <c r="F39" s="9"/>
      <c r="G39" s="9"/>
      <c r="H39" s="9">
        <v>37259016</v>
      </c>
      <c r="I39" s="9"/>
      <c r="J39" s="9">
        <v>55383500</v>
      </c>
      <c r="K39" s="9"/>
      <c r="L39" s="144"/>
      <c r="M39" s="144"/>
      <c r="N39" s="230">
        <f>ROUND(F39*(1-8.18%),2)</f>
        <v>0</v>
      </c>
      <c r="O39" s="178"/>
      <c r="P39" s="178"/>
      <c r="Q39" s="230">
        <f>ROUND(G39*(1-0.10257103%),2)</f>
        <v>0</v>
      </c>
      <c r="R39" s="335"/>
      <c r="S39" s="335"/>
      <c r="T39" s="230">
        <f>ROUND(H39*(1-5%),2)</f>
        <v>35396065.200000003</v>
      </c>
      <c r="U39" s="363"/>
      <c r="V39" s="363"/>
      <c r="W39" s="230">
        <f>ROUND(I39*(1-0.0030707%),2)</f>
        <v>0</v>
      </c>
      <c r="X39" s="349"/>
      <c r="Y39" s="349"/>
      <c r="Z39" s="230">
        <f>ROUND(J39*(1-5%),2)</f>
        <v>52614325</v>
      </c>
      <c r="AA39" s="172"/>
      <c r="AB39" s="172"/>
      <c r="AC39" s="230">
        <f>ROUND(K39*(1-1.31%),2)</f>
        <v>0</v>
      </c>
      <c r="AD39" s="508"/>
      <c r="AE39" s="508"/>
      <c r="AF39" s="539"/>
      <c r="AG39" s="539"/>
      <c r="AH39" s="467"/>
      <c r="AI39" s="467"/>
      <c r="AJ39" s="8">
        <f>SUM(E39:K39)-SUM(L39:AI39)</f>
        <v>4632125.799999997</v>
      </c>
    </row>
    <row r="40" spans="1:36" x14ac:dyDescent="0.2">
      <c r="A40" s="78"/>
      <c r="B40" s="84"/>
      <c r="C40" s="79" t="s">
        <v>32</v>
      </c>
      <c r="D40" s="4" t="s">
        <v>104</v>
      </c>
      <c r="E40" s="7"/>
      <c r="F40" s="9"/>
      <c r="G40" s="9"/>
      <c r="H40" s="9"/>
      <c r="I40" s="9"/>
      <c r="J40" s="9"/>
      <c r="K40" s="9"/>
      <c r="L40" s="144"/>
      <c r="M40" s="144"/>
      <c r="N40" s="230">
        <f>ROUND(F40*(1-8.18%),2)</f>
        <v>0</v>
      </c>
      <c r="O40" s="178"/>
      <c r="P40" s="178"/>
      <c r="Q40" s="230">
        <f>ROUND(G40*(1-0.10257103%),2)</f>
        <v>0</v>
      </c>
      <c r="R40" s="335"/>
      <c r="S40" s="335"/>
      <c r="T40" s="230">
        <f>ROUND(H40*(1-5%),2)</f>
        <v>0</v>
      </c>
      <c r="U40" s="363"/>
      <c r="V40" s="363"/>
      <c r="W40" s="230">
        <f>ROUND(I40*(1-0.0030707%),2)</f>
        <v>0</v>
      </c>
      <c r="X40" s="349"/>
      <c r="Y40" s="349"/>
      <c r="Z40" s="230">
        <f>ROUND(J40*(1-5%),2)</f>
        <v>0</v>
      </c>
      <c r="AA40" s="172"/>
      <c r="AB40" s="172"/>
      <c r="AC40" s="230">
        <f>ROUND(K40*(1-1.31%),2)</f>
        <v>0</v>
      </c>
      <c r="AD40" s="508"/>
      <c r="AE40" s="508"/>
      <c r="AF40" s="539"/>
      <c r="AG40" s="539"/>
      <c r="AH40" s="467"/>
      <c r="AI40" s="467"/>
      <c r="AJ40" s="8">
        <f>SUM(E40:K40)-SUM(L40:AI40)</f>
        <v>0</v>
      </c>
    </row>
    <row r="41" spans="1:36" x14ac:dyDescent="0.2">
      <c r="A41" s="78"/>
      <c r="B41" s="84"/>
      <c r="C41" s="79" t="s">
        <v>33</v>
      </c>
      <c r="D41" s="4" t="s">
        <v>101</v>
      </c>
      <c r="E41" s="7">
        <v>194880.9</v>
      </c>
      <c r="F41" s="9"/>
      <c r="G41" s="9"/>
      <c r="H41" s="9"/>
      <c r="I41" s="9">
        <v>4966471.5999999996</v>
      </c>
      <c r="J41" s="9"/>
      <c r="K41" s="9"/>
      <c r="L41" s="144"/>
      <c r="M41" s="144"/>
      <c r="N41" s="230">
        <f>ROUND(F41*(1-8.18%),2)</f>
        <v>0</v>
      </c>
      <c r="O41" s="178"/>
      <c r="P41" s="178"/>
      <c r="Q41" s="230">
        <f>ROUND(G41*(1-0.10257103%),2)</f>
        <v>0</v>
      </c>
      <c r="R41" s="335"/>
      <c r="S41" s="335"/>
      <c r="T41" s="230">
        <f>ROUND(H41*(1-5%),2)</f>
        <v>0</v>
      </c>
      <c r="U41" s="363"/>
      <c r="V41" s="363"/>
      <c r="W41" s="230">
        <f>ROUND(I41*(1-0.0030707%),2)</f>
        <v>4966319.09</v>
      </c>
      <c r="X41" s="349"/>
      <c r="Y41" s="349"/>
      <c r="Z41" s="230">
        <f>ROUND(J41*(1-5%),2)</f>
        <v>0</v>
      </c>
      <c r="AA41" s="172"/>
      <c r="AB41" s="172"/>
      <c r="AC41" s="230">
        <f>ROUND(K41*(1-1.31%),2)</f>
        <v>0</v>
      </c>
      <c r="AD41" s="508"/>
      <c r="AE41" s="508"/>
      <c r="AF41" s="539"/>
      <c r="AG41" s="539"/>
      <c r="AH41" s="467"/>
      <c r="AI41" s="467"/>
      <c r="AJ41" s="8">
        <f>SUM(E41:K41)-SUM(L41:AI41)</f>
        <v>195033.41000000015</v>
      </c>
    </row>
    <row r="42" spans="1:36" x14ac:dyDescent="0.2">
      <c r="A42" s="78"/>
      <c r="B42" s="84">
        <v>5</v>
      </c>
      <c r="C42" s="79"/>
      <c r="D42" s="4" t="s">
        <v>158</v>
      </c>
      <c r="E42" s="7">
        <f>SUM(E43:E46)</f>
        <v>1418104.31</v>
      </c>
      <c r="F42" s="7">
        <f t="shared" ref="F42:AJ42" si="22">SUM(F43:F46)</f>
        <v>0</v>
      </c>
      <c r="G42" s="9">
        <f t="shared" si="22"/>
        <v>31492019</v>
      </c>
      <c r="H42" s="9">
        <f t="shared" si="22"/>
        <v>4106757</v>
      </c>
      <c r="I42" s="9">
        <f t="shared" si="22"/>
        <v>655654.37000000011</v>
      </c>
      <c r="J42" s="9">
        <f t="shared" si="22"/>
        <v>2885335</v>
      </c>
      <c r="K42" s="9">
        <f t="shared" si="22"/>
        <v>0</v>
      </c>
      <c r="L42" s="144">
        <f t="shared" si="22"/>
        <v>0</v>
      </c>
      <c r="M42" s="144">
        <f t="shared" si="22"/>
        <v>0</v>
      </c>
      <c r="N42" s="230">
        <f t="shared" ref="N42" si="23">SUM(N43:N46)</f>
        <v>0</v>
      </c>
      <c r="O42" s="178">
        <f t="shared" si="22"/>
        <v>0</v>
      </c>
      <c r="P42" s="178">
        <f t="shared" si="22"/>
        <v>0</v>
      </c>
      <c r="Q42" s="230">
        <f t="shared" si="22"/>
        <v>31459717.309999999</v>
      </c>
      <c r="R42" s="335">
        <f t="shared" si="22"/>
        <v>0</v>
      </c>
      <c r="S42" s="335">
        <f t="shared" si="22"/>
        <v>0</v>
      </c>
      <c r="T42" s="230">
        <f t="shared" si="22"/>
        <v>3901419.15</v>
      </c>
      <c r="U42" s="363">
        <f t="shared" si="22"/>
        <v>0</v>
      </c>
      <c r="V42" s="363">
        <f t="shared" si="22"/>
        <v>0</v>
      </c>
      <c r="W42" s="230">
        <f t="shared" si="22"/>
        <v>655634.24</v>
      </c>
      <c r="X42" s="349">
        <f t="shared" si="22"/>
        <v>0</v>
      </c>
      <c r="Y42" s="349">
        <f t="shared" si="22"/>
        <v>0</v>
      </c>
      <c r="Z42" s="230">
        <f t="shared" si="22"/>
        <v>2741068.2399999998</v>
      </c>
      <c r="AA42" s="172">
        <f t="shared" si="22"/>
        <v>0</v>
      </c>
      <c r="AB42" s="172">
        <f t="shared" si="22"/>
        <v>0</v>
      </c>
      <c r="AC42" s="230">
        <f t="shared" si="22"/>
        <v>0</v>
      </c>
      <c r="AD42" s="508"/>
      <c r="AE42" s="508"/>
      <c r="AF42" s="539"/>
      <c r="AG42" s="539"/>
      <c r="AH42" s="467">
        <f t="shared" si="22"/>
        <v>0</v>
      </c>
      <c r="AI42" s="467">
        <f t="shared" si="22"/>
        <v>0</v>
      </c>
      <c r="AJ42" s="8">
        <f t="shared" si="22"/>
        <v>1800030.7399999937</v>
      </c>
    </row>
    <row r="43" spans="1:36" x14ac:dyDescent="0.2">
      <c r="A43" s="78"/>
      <c r="B43" s="84"/>
      <c r="C43" s="79" t="s">
        <v>29</v>
      </c>
      <c r="D43" s="10" t="s">
        <v>147</v>
      </c>
      <c r="E43" s="7">
        <v>58361.09</v>
      </c>
      <c r="F43" s="9"/>
      <c r="G43" s="9">
        <v>4356115</v>
      </c>
      <c r="H43" s="9">
        <v>181175</v>
      </c>
      <c r="I43" s="9">
        <v>2883.82</v>
      </c>
      <c r="J43" s="9">
        <v>285008</v>
      </c>
      <c r="K43" s="103"/>
      <c r="L43" s="144"/>
      <c r="M43" s="144"/>
      <c r="N43" s="230">
        <f>ROUND(F43*(1-8.18%),2)</f>
        <v>0</v>
      </c>
      <c r="O43" s="178"/>
      <c r="P43" s="178"/>
      <c r="Q43" s="230">
        <f>ROUND(G43*(1-0.10257103%),2)</f>
        <v>4351646.8899999997</v>
      </c>
      <c r="R43" s="335"/>
      <c r="S43" s="335"/>
      <c r="T43" s="230">
        <f>ROUND(H43*(1-5%),2)</f>
        <v>172116.25</v>
      </c>
      <c r="U43" s="363"/>
      <c r="V43" s="363"/>
      <c r="W43" s="230">
        <f>ROUND(I43*(1-0.0030707%),2)</f>
        <v>2883.73</v>
      </c>
      <c r="X43" s="349"/>
      <c r="Y43" s="349"/>
      <c r="Z43" s="230">
        <f>ROUND(J43*(1-5%),2)</f>
        <v>270757.59999999998</v>
      </c>
      <c r="AA43" s="172"/>
      <c r="AB43" s="172"/>
      <c r="AC43" s="230">
        <f>ROUND(K43*(1-1.31%),2)</f>
        <v>0</v>
      </c>
      <c r="AD43" s="508"/>
      <c r="AE43" s="508"/>
      <c r="AF43" s="539"/>
      <c r="AG43" s="539"/>
      <c r="AH43" s="467"/>
      <c r="AI43" s="467"/>
      <c r="AJ43" s="8">
        <f>SUM(E43:K43)-SUM(L43:AI43)</f>
        <v>86138.44000000041</v>
      </c>
    </row>
    <row r="44" spans="1:36" x14ac:dyDescent="0.2">
      <c r="A44" s="78"/>
      <c r="B44" s="84"/>
      <c r="C44" s="79" t="s">
        <v>30</v>
      </c>
      <c r="D44" s="10" t="s">
        <v>148</v>
      </c>
      <c r="E44" s="7"/>
      <c r="F44" s="9"/>
      <c r="G44" s="9">
        <v>8590573</v>
      </c>
      <c r="H44" s="9">
        <v>97879</v>
      </c>
      <c r="I44" s="9">
        <v>40115.620000000003</v>
      </c>
      <c r="J44" s="9">
        <v>665895</v>
      </c>
      <c r="K44" s="103"/>
      <c r="L44" s="144"/>
      <c r="M44" s="144"/>
      <c r="N44" s="230">
        <f>ROUND(F44*(1-8.18%),2)</f>
        <v>0</v>
      </c>
      <c r="O44" s="178"/>
      <c r="P44" s="178"/>
      <c r="Q44" s="230">
        <f>ROUND(G44*(1-0.10257103%),2)</f>
        <v>8581761.5600000005</v>
      </c>
      <c r="R44" s="335"/>
      <c r="S44" s="335"/>
      <c r="T44" s="230">
        <f>ROUND(H44*(1-5%),2)</f>
        <v>92985.05</v>
      </c>
      <c r="U44" s="363"/>
      <c r="V44" s="363"/>
      <c r="W44" s="230">
        <f>ROUND(I44*(1-0.0030707%),2)</f>
        <v>40114.39</v>
      </c>
      <c r="X44" s="349"/>
      <c r="Y44" s="349"/>
      <c r="Z44" s="230">
        <f>ROUND(J44*(1-5%),2)</f>
        <v>632600.25</v>
      </c>
      <c r="AA44" s="172"/>
      <c r="AB44" s="172"/>
      <c r="AC44" s="230">
        <f>ROUND(K44*(1-1.31%),2)</f>
        <v>0</v>
      </c>
      <c r="AD44" s="508"/>
      <c r="AE44" s="508"/>
      <c r="AF44" s="539"/>
      <c r="AG44" s="539"/>
      <c r="AH44" s="467"/>
      <c r="AI44" s="467"/>
      <c r="AJ44" s="8">
        <f>SUM(E44:K44)-SUM(L44:AI44)</f>
        <v>47001.369999997318</v>
      </c>
    </row>
    <row r="45" spans="1:36" ht="15" x14ac:dyDescent="0.2">
      <c r="A45" s="78"/>
      <c r="B45" s="84"/>
      <c r="C45" s="79" t="s">
        <v>31</v>
      </c>
      <c r="D45" s="10" t="s">
        <v>221</v>
      </c>
      <c r="E45" s="7"/>
      <c r="F45" s="9"/>
      <c r="G45" s="9"/>
      <c r="H45" s="9"/>
      <c r="I45" s="9"/>
      <c r="J45" s="9"/>
      <c r="K45" s="9"/>
      <c r="L45" s="144"/>
      <c r="M45" s="144"/>
      <c r="N45" s="230">
        <f>ROUND(F45*(1-8.18%),2)</f>
        <v>0</v>
      </c>
      <c r="O45" s="178"/>
      <c r="P45" s="178"/>
      <c r="Q45" s="230">
        <f>ROUND(G45*(1-0.10257103%),2)</f>
        <v>0</v>
      </c>
      <c r="R45" s="335"/>
      <c r="S45" s="335"/>
      <c r="T45" s="230">
        <f>ROUND(H45*(1-5%),2)</f>
        <v>0</v>
      </c>
      <c r="U45" s="363"/>
      <c r="V45" s="363"/>
      <c r="W45" s="230">
        <f>ROUND(I45*(1-0.0030707%),2)</f>
        <v>0</v>
      </c>
      <c r="X45" s="349"/>
      <c r="Y45" s="349"/>
      <c r="Z45" s="230">
        <f>ROUND(J45*(1-5%),2)</f>
        <v>0</v>
      </c>
      <c r="AA45" s="172"/>
      <c r="AB45" s="172"/>
      <c r="AC45" s="230">
        <f>ROUND(K45*(1-1.31%),2)</f>
        <v>0</v>
      </c>
      <c r="AD45" s="508"/>
      <c r="AE45" s="508"/>
      <c r="AF45" s="539"/>
      <c r="AG45" s="539"/>
      <c r="AH45" s="467"/>
      <c r="AI45" s="467"/>
      <c r="AJ45" s="8">
        <f>SUM(E45:K45)-SUM(L45:AI45)</f>
        <v>0</v>
      </c>
    </row>
    <row r="46" spans="1:36" x14ac:dyDescent="0.2">
      <c r="A46" s="78"/>
      <c r="B46" s="84"/>
      <c r="C46" s="79" t="s">
        <v>32</v>
      </c>
      <c r="D46" s="10" t="s">
        <v>62</v>
      </c>
      <c r="E46" s="7">
        <v>1359743.22</v>
      </c>
      <c r="F46" s="9"/>
      <c r="G46" s="9">
        <v>18545331</v>
      </c>
      <c r="H46" s="9">
        <v>3827703</v>
      </c>
      <c r="I46" s="9">
        <v>612654.93000000005</v>
      </c>
      <c r="J46" s="9">
        <v>1934432</v>
      </c>
      <c r="K46" s="9"/>
      <c r="L46" s="144"/>
      <c r="M46" s="144"/>
      <c r="N46" s="230">
        <f>ROUND(F46*(1-8.18%),2)</f>
        <v>0</v>
      </c>
      <c r="O46" s="178"/>
      <c r="P46" s="178"/>
      <c r="Q46" s="230">
        <f>ROUND(G46*(1-0.10257103%),2)</f>
        <v>18526308.859999999</v>
      </c>
      <c r="R46" s="335"/>
      <c r="S46" s="335"/>
      <c r="T46" s="230">
        <f>ROUND(H46*(1-5%),2)</f>
        <v>3636317.85</v>
      </c>
      <c r="U46" s="363"/>
      <c r="V46" s="363"/>
      <c r="W46" s="230">
        <f>ROUND(I46*(1-0.0030707%),2)</f>
        <v>612636.12</v>
      </c>
      <c r="X46" s="349"/>
      <c r="Y46" s="349"/>
      <c r="Z46" s="230">
        <f>ROUND(J46*(1-5%),2)-0.01</f>
        <v>1837710.39</v>
      </c>
      <c r="AA46" s="172"/>
      <c r="AB46" s="172"/>
      <c r="AC46" s="230">
        <f>ROUND(K46*(1-1.31%),2)</f>
        <v>0</v>
      </c>
      <c r="AD46" s="508"/>
      <c r="AE46" s="508"/>
      <c r="AF46" s="539"/>
      <c r="AG46" s="539"/>
      <c r="AH46" s="467"/>
      <c r="AI46" s="467"/>
      <c r="AJ46" s="8">
        <f>SUM(E46:K46)-SUM(L46:AI46)</f>
        <v>1666890.929999996</v>
      </c>
    </row>
    <row r="47" spans="1:36" x14ac:dyDescent="0.2">
      <c r="A47" s="78"/>
      <c r="B47" s="84"/>
      <c r="C47" s="79"/>
      <c r="D47" s="57" t="s">
        <v>85</v>
      </c>
      <c r="E47" s="55">
        <f>E29+E34+E35+E36+E42</f>
        <v>4631072.7799999993</v>
      </c>
      <c r="F47" s="55">
        <f t="shared" ref="F47:AI47" si="24">F29+F34+F35+F36+F42</f>
        <v>0</v>
      </c>
      <c r="G47" s="55">
        <f t="shared" si="24"/>
        <v>498726664</v>
      </c>
      <c r="H47" s="55">
        <f t="shared" si="24"/>
        <v>266986856</v>
      </c>
      <c r="I47" s="55">
        <f t="shared" si="24"/>
        <v>5730291.9199999999</v>
      </c>
      <c r="J47" s="55">
        <f t="shared" si="24"/>
        <v>67974006</v>
      </c>
      <c r="K47" s="55">
        <f t="shared" si="24"/>
        <v>0</v>
      </c>
      <c r="L47" s="168">
        <f t="shared" si="24"/>
        <v>0</v>
      </c>
      <c r="M47" s="168">
        <f t="shared" si="24"/>
        <v>0</v>
      </c>
      <c r="N47" s="231">
        <f t="shared" ref="N47" si="25">N29+N34+N35+N36+N42</f>
        <v>0</v>
      </c>
      <c r="O47" s="179">
        <f t="shared" si="24"/>
        <v>35.258412049688992</v>
      </c>
      <c r="P47" s="179">
        <f t="shared" si="24"/>
        <v>25.223211215990997</v>
      </c>
      <c r="Q47" s="231">
        <f t="shared" si="24"/>
        <v>498215114.91000003</v>
      </c>
      <c r="R47" s="409">
        <f t="shared" si="24"/>
        <v>0</v>
      </c>
      <c r="S47" s="409">
        <f t="shared" si="24"/>
        <v>0</v>
      </c>
      <c r="T47" s="231">
        <f t="shared" si="24"/>
        <v>253637513.20000002</v>
      </c>
      <c r="U47" s="414">
        <f t="shared" si="24"/>
        <v>0</v>
      </c>
      <c r="V47" s="414">
        <f t="shared" si="24"/>
        <v>0</v>
      </c>
      <c r="W47" s="231">
        <f t="shared" si="24"/>
        <v>5730115.96</v>
      </c>
      <c r="X47" s="418">
        <f t="shared" si="24"/>
        <v>2978.4935000000005</v>
      </c>
      <c r="Y47" s="418">
        <f t="shared" si="24"/>
        <v>0</v>
      </c>
      <c r="Z47" s="231">
        <f t="shared" si="24"/>
        <v>64575305.690000005</v>
      </c>
      <c r="AA47" s="173">
        <f t="shared" si="24"/>
        <v>0</v>
      </c>
      <c r="AB47" s="173">
        <f t="shared" si="24"/>
        <v>0</v>
      </c>
      <c r="AC47" s="231">
        <f t="shared" si="24"/>
        <v>0</v>
      </c>
      <c r="AD47" s="532">
        <f t="shared" si="24"/>
        <v>0</v>
      </c>
      <c r="AE47" s="532">
        <f t="shared" si="24"/>
        <v>0</v>
      </c>
      <c r="AF47" s="562">
        <f t="shared" si="24"/>
        <v>0</v>
      </c>
      <c r="AG47" s="562">
        <f t="shared" si="24"/>
        <v>0</v>
      </c>
      <c r="AH47" s="489">
        <f t="shared" si="24"/>
        <v>0</v>
      </c>
      <c r="AI47" s="489">
        <f t="shared" si="24"/>
        <v>0</v>
      </c>
      <c r="AJ47" s="55">
        <f>AJ29+AJ34+AJ35+AJ36+AJ42</f>
        <v>21887801.964876745</v>
      </c>
    </row>
    <row r="48" spans="1:36" x14ac:dyDescent="0.2">
      <c r="A48" s="78"/>
      <c r="B48" s="84"/>
      <c r="C48" s="79"/>
      <c r="D48" s="4"/>
      <c r="E48" s="7"/>
      <c r="F48" s="9"/>
      <c r="G48" s="9"/>
      <c r="H48" s="9"/>
      <c r="I48" s="9"/>
      <c r="J48" s="9"/>
      <c r="K48" s="9"/>
      <c r="L48" s="144"/>
      <c r="M48" s="144"/>
      <c r="N48" s="230"/>
      <c r="O48" s="178"/>
      <c r="P48" s="178"/>
      <c r="Q48" s="230"/>
      <c r="R48" s="335"/>
      <c r="S48" s="335"/>
      <c r="T48" s="230"/>
      <c r="U48" s="363"/>
      <c r="V48" s="363"/>
      <c r="W48" s="230"/>
      <c r="X48" s="349"/>
      <c r="Y48" s="349"/>
      <c r="Z48" s="230"/>
      <c r="AA48" s="172"/>
      <c r="AB48" s="172"/>
      <c r="AC48" s="230"/>
      <c r="AD48" s="508"/>
      <c r="AE48" s="508"/>
      <c r="AF48" s="539"/>
      <c r="AG48" s="539"/>
      <c r="AH48" s="467"/>
      <c r="AI48" s="467"/>
      <c r="AJ48" s="8"/>
    </row>
    <row r="49" spans="1:36" ht="15" x14ac:dyDescent="0.25">
      <c r="A49" s="78"/>
      <c r="B49" s="84"/>
      <c r="C49" s="85"/>
      <c r="D49" s="2" t="s">
        <v>189</v>
      </c>
      <c r="E49" s="7"/>
      <c r="F49" s="9"/>
      <c r="G49" s="9"/>
      <c r="H49" s="9"/>
      <c r="I49" s="9"/>
      <c r="J49" s="9"/>
      <c r="K49" s="9"/>
      <c r="L49" s="144"/>
      <c r="M49" s="144"/>
      <c r="N49" s="230"/>
      <c r="O49" s="178"/>
      <c r="P49" s="178"/>
      <c r="Q49" s="230"/>
      <c r="R49" s="335"/>
      <c r="S49" s="335"/>
      <c r="T49" s="230"/>
      <c r="U49" s="363"/>
      <c r="V49" s="363"/>
      <c r="W49" s="230"/>
      <c r="X49" s="349"/>
      <c r="Y49" s="349"/>
      <c r="Z49" s="230"/>
      <c r="AA49" s="172"/>
      <c r="AB49" s="172"/>
      <c r="AC49" s="230"/>
      <c r="AD49" s="508"/>
      <c r="AE49" s="508"/>
      <c r="AF49" s="539"/>
      <c r="AG49" s="539"/>
      <c r="AH49" s="467"/>
      <c r="AI49" s="467"/>
      <c r="AJ49" s="8"/>
    </row>
    <row r="50" spans="1:36" x14ac:dyDescent="0.2">
      <c r="A50" s="78" t="s">
        <v>41</v>
      </c>
      <c r="B50" s="84"/>
      <c r="C50" s="79"/>
      <c r="D50" s="4" t="s">
        <v>47</v>
      </c>
      <c r="E50" s="7">
        <v>54952.35</v>
      </c>
      <c r="F50" s="9"/>
      <c r="G50" s="9">
        <v>20152</v>
      </c>
      <c r="H50" s="9">
        <v>8954221</v>
      </c>
      <c r="I50" s="9"/>
      <c r="J50" s="9">
        <v>19</v>
      </c>
      <c r="K50" s="9"/>
      <c r="L50" s="144"/>
      <c r="M50" s="144"/>
      <c r="N50" s="230">
        <f>ROUND(F50*(1-8.18%),2)</f>
        <v>0</v>
      </c>
      <c r="O50" s="178"/>
      <c r="P50" s="178"/>
      <c r="Q50" s="230">
        <f>ROUND(G50*(1-0.10257103%),2)</f>
        <v>20131.330000000002</v>
      </c>
      <c r="R50" s="335"/>
      <c r="S50" s="335"/>
      <c r="T50" s="230">
        <f>ROUND(H50*(1-5%),2)</f>
        <v>8506509.9499999993</v>
      </c>
      <c r="U50" s="363"/>
      <c r="V50" s="363"/>
      <c r="W50" s="230">
        <f>ROUND(I50*(1-0.0030707%),2)</f>
        <v>0</v>
      </c>
      <c r="X50" s="349"/>
      <c r="Y50" s="349"/>
      <c r="Z50" s="230">
        <f>ROUND(J50*(1-5%),2)</f>
        <v>18.05</v>
      </c>
      <c r="AA50" s="172"/>
      <c r="AB50" s="172"/>
      <c r="AC50" s="230">
        <f>ROUND(K50*(1-1.31%),2)</f>
        <v>0</v>
      </c>
      <c r="AD50" s="508"/>
      <c r="AE50" s="508"/>
      <c r="AF50" s="539"/>
      <c r="AG50" s="539"/>
      <c r="AH50" s="467"/>
      <c r="AI50" s="467"/>
      <c r="AJ50" s="8">
        <f t="shared" ref="AJ50:AJ56" si="26">SUM(E50:K50)-SUM(L50:AI50)</f>
        <v>502685.01999999955</v>
      </c>
    </row>
    <row r="51" spans="1:36" x14ac:dyDescent="0.2">
      <c r="A51" s="78" t="s">
        <v>42</v>
      </c>
      <c r="B51" s="84"/>
      <c r="C51" s="79"/>
      <c r="D51" s="4" t="s">
        <v>48</v>
      </c>
      <c r="E51" s="7">
        <f>E52+E55+E56</f>
        <v>19515012.039999999</v>
      </c>
      <c r="F51" s="7">
        <f t="shared" ref="F51:AH51" si="27">F52+F55+F56</f>
        <v>0</v>
      </c>
      <c r="G51" s="7">
        <f t="shared" si="27"/>
        <v>104541447</v>
      </c>
      <c r="H51" s="7">
        <f t="shared" si="27"/>
        <v>0</v>
      </c>
      <c r="I51" s="7">
        <f t="shared" si="27"/>
        <v>90748334.689999998</v>
      </c>
      <c r="J51" s="7">
        <f t="shared" si="27"/>
        <v>0</v>
      </c>
      <c r="K51" s="7">
        <f t="shared" si="27"/>
        <v>0</v>
      </c>
      <c r="L51" s="143">
        <f t="shared" si="27"/>
        <v>0</v>
      </c>
      <c r="M51" s="143">
        <f t="shared" si="27"/>
        <v>0</v>
      </c>
      <c r="N51" s="232">
        <f t="shared" ref="N51" si="28">N52+N55+N56</f>
        <v>0</v>
      </c>
      <c r="O51" s="180">
        <f t="shared" si="27"/>
        <v>0</v>
      </c>
      <c r="P51" s="180">
        <f t="shared" si="27"/>
        <v>0</v>
      </c>
      <c r="Q51" s="232">
        <f t="shared" si="27"/>
        <v>104434217.76000001</v>
      </c>
      <c r="R51" s="334">
        <f t="shared" si="27"/>
        <v>0</v>
      </c>
      <c r="S51" s="334">
        <f t="shared" si="27"/>
        <v>0</v>
      </c>
      <c r="T51" s="232">
        <f t="shared" si="27"/>
        <v>0</v>
      </c>
      <c r="U51" s="362">
        <f t="shared" si="27"/>
        <v>0</v>
      </c>
      <c r="V51" s="362">
        <f t="shared" si="27"/>
        <v>0</v>
      </c>
      <c r="W51" s="232">
        <f t="shared" si="27"/>
        <v>90745548.079999998</v>
      </c>
      <c r="X51" s="348">
        <f t="shared" si="27"/>
        <v>0</v>
      </c>
      <c r="Y51" s="348">
        <f t="shared" si="27"/>
        <v>0</v>
      </c>
      <c r="Z51" s="232">
        <f t="shared" si="27"/>
        <v>0</v>
      </c>
      <c r="AA51" s="174">
        <f t="shared" si="27"/>
        <v>0</v>
      </c>
      <c r="AB51" s="174">
        <f t="shared" si="27"/>
        <v>0</v>
      </c>
      <c r="AC51" s="232">
        <f t="shared" si="27"/>
        <v>0</v>
      </c>
      <c r="AD51" s="533"/>
      <c r="AE51" s="533"/>
      <c r="AF51" s="563"/>
      <c r="AG51" s="563"/>
      <c r="AH51" s="490">
        <f t="shared" si="27"/>
        <v>0</v>
      </c>
      <c r="AI51" s="490">
        <f>AI52+AI53+AI54+AI55+AI56</f>
        <v>0</v>
      </c>
      <c r="AJ51" s="8">
        <f t="shared" si="26"/>
        <v>19625027.889999986</v>
      </c>
    </row>
    <row r="52" spans="1:36" ht="15" x14ac:dyDescent="0.25">
      <c r="A52" s="78"/>
      <c r="B52" s="84">
        <v>1</v>
      </c>
      <c r="C52" s="79"/>
      <c r="D52" s="1" t="s">
        <v>208</v>
      </c>
      <c r="E52" s="7">
        <f>SUM(E53:E54)</f>
        <v>19515012.039999999</v>
      </c>
      <c r="F52" s="7">
        <f t="shared" ref="F52:AC52" si="29">SUM(F53:F54)</f>
        <v>0</v>
      </c>
      <c r="G52" s="7">
        <f t="shared" si="29"/>
        <v>0</v>
      </c>
      <c r="H52" s="7">
        <f t="shared" si="29"/>
        <v>0</v>
      </c>
      <c r="I52" s="7">
        <f t="shared" si="29"/>
        <v>90748334.689999998</v>
      </c>
      <c r="J52" s="7">
        <f t="shared" si="29"/>
        <v>0</v>
      </c>
      <c r="K52" s="7">
        <f t="shared" si="29"/>
        <v>0</v>
      </c>
      <c r="L52" s="143">
        <f t="shared" si="29"/>
        <v>0</v>
      </c>
      <c r="M52" s="143">
        <f t="shared" si="29"/>
        <v>0</v>
      </c>
      <c r="N52" s="232">
        <f t="shared" ref="N52" si="30">SUM(N53:N54)</f>
        <v>0</v>
      </c>
      <c r="O52" s="180">
        <f t="shared" si="29"/>
        <v>0</v>
      </c>
      <c r="P52" s="180">
        <f t="shared" si="29"/>
        <v>0</v>
      </c>
      <c r="Q52" s="232">
        <f t="shared" si="29"/>
        <v>0</v>
      </c>
      <c r="R52" s="334">
        <f t="shared" si="29"/>
        <v>0</v>
      </c>
      <c r="S52" s="334">
        <f t="shared" si="29"/>
        <v>0</v>
      </c>
      <c r="T52" s="232">
        <f t="shared" si="29"/>
        <v>0</v>
      </c>
      <c r="U52" s="362">
        <f t="shared" si="29"/>
        <v>0</v>
      </c>
      <c r="V52" s="362">
        <f t="shared" si="29"/>
        <v>0</v>
      </c>
      <c r="W52" s="232">
        <f t="shared" si="29"/>
        <v>90745548.079999998</v>
      </c>
      <c r="X52" s="348">
        <f t="shared" si="29"/>
        <v>0</v>
      </c>
      <c r="Y52" s="348">
        <f t="shared" si="29"/>
        <v>0</v>
      </c>
      <c r="Z52" s="232">
        <f t="shared" si="29"/>
        <v>0</v>
      </c>
      <c r="AA52" s="174">
        <f t="shared" si="29"/>
        <v>0</v>
      </c>
      <c r="AB52" s="174">
        <f t="shared" si="29"/>
        <v>0</v>
      </c>
      <c r="AC52" s="232">
        <f t="shared" si="29"/>
        <v>0</v>
      </c>
      <c r="AD52" s="508"/>
      <c r="AE52" s="508"/>
      <c r="AF52" s="539"/>
      <c r="AG52" s="539"/>
      <c r="AH52" s="467"/>
      <c r="AI52" s="467"/>
      <c r="AJ52" s="8">
        <f t="shared" si="26"/>
        <v>19517798.649999991</v>
      </c>
    </row>
    <row r="53" spans="1:36" ht="15" x14ac:dyDescent="0.25">
      <c r="A53" s="78"/>
      <c r="B53" s="84"/>
      <c r="C53" s="79" t="s">
        <v>29</v>
      </c>
      <c r="D53" s="1" t="s">
        <v>209</v>
      </c>
      <c r="E53" s="7">
        <v>19180012.039999999</v>
      </c>
      <c r="F53" s="9"/>
      <c r="G53" s="9"/>
      <c r="H53" s="9"/>
      <c r="I53" s="9">
        <v>90748334.689999998</v>
      </c>
      <c r="J53" s="9"/>
      <c r="K53" s="9"/>
      <c r="L53" s="144"/>
      <c r="M53" s="144"/>
      <c r="N53" s="230">
        <f>ROUND(F53*(1-8.18%),2)</f>
        <v>0</v>
      </c>
      <c r="O53" s="178"/>
      <c r="P53" s="178"/>
      <c r="Q53" s="230">
        <f>ROUND(G53*(1-0.10257103%),2)</f>
        <v>0</v>
      </c>
      <c r="R53" s="335"/>
      <c r="S53" s="335"/>
      <c r="T53" s="230">
        <f>ROUND(H53*(1-5%),2)</f>
        <v>0</v>
      </c>
      <c r="U53" s="363"/>
      <c r="V53" s="363"/>
      <c r="W53" s="230">
        <f>ROUND(I53*(1-0.0030707%),2)</f>
        <v>90745548.079999998</v>
      </c>
      <c r="X53" s="349"/>
      <c r="Y53" s="349"/>
      <c r="Z53" s="230">
        <f>ROUND(J53*(1-5%),2)</f>
        <v>0</v>
      </c>
      <c r="AA53" s="172"/>
      <c r="AB53" s="172"/>
      <c r="AC53" s="230">
        <f>ROUND(K53*(1-1.31%),2)</f>
        <v>0</v>
      </c>
      <c r="AD53" s="508"/>
      <c r="AE53" s="508"/>
      <c r="AF53" s="539"/>
      <c r="AG53" s="539"/>
      <c r="AH53" s="467"/>
      <c r="AI53" s="467"/>
      <c r="AJ53" s="8">
        <f t="shared" si="26"/>
        <v>19182798.649999991</v>
      </c>
    </row>
    <row r="54" spans="1:36" ht="15" x14ac:dyDescent="0.25">
      <c r="A54" s="78"/>
      <c r="B54" s="84"/>
      <c r="C54" s="79" t="s">
        <v>30</v>
      </c>
      <c r="D54" s="1" t="s">
        <v>102</v>
      </c>
      <c r="E54" s="7">
        <v>335000</v>
      </c>
      <c r="F54" s="9"/>
      <c r="G54" s="9"/>
      <c r="H54" s="9"/>
      <c r="I54" s="9"/>
      <c r="J54" s="9"/>
      <c r="K54" s="9"/>
      <c r="L54" s="144"/>
      <c r="M54" s="144"/>
      <c r="N54" s="230">
        <f>ROUND(F54*(1-8.18%),2)</f>
        <v>0</v>
      </c>
      <c r="O54" s="178"/>
      <c r="P54" s="178"/>
      <c r="Q54" s="230">
        <f>ROUND(G54*(1-0.10257103%),2)</f>
        <v>0</v>
      </c>
      <c r="R54" s="335"/>
      <c r="S54" s="335"/>
      <c r="T54" s="230">
        <f>ROUND(H54*(1-5%),2)</f>
        <v>0</v>
      </c>
      <c r="U54" s="363"/>
      <c r="V54" s="363"/>
      <c r="W54" s="230">
        <f>ROUND(I54*(1-0.0030707%),2)</f>
        <v>0</v>
      </c>
      <c r="X54" s="349"/>
      <c r="Y54" s="349"/>
      <c r="Z54" s="230">
        <f>ROUND(J54*(1-5%),2)</f>
        <v>0</v>
      </c>
      <c r="AA54" s="172"/>
      <c r="AB54" s="172"/>
      <c r="AC54" s="230">
        <f>ROUND(K54*(1-1.31%),2)</f>
        <v>0</v>
      </c>
      <c r="AD54" s="508"/>
      <c r="AE54" s="508"/>
      <c r="AF54" s="539"/>
      <c r="AG54" s="539"/>
      <c r="AH54" s="467"/>
      <c r="AI54" s="467"/>
      <c r="AJ54" s="8">
        <f t="shared" si="26"/>
        <v>335000</v>
      </c>
    </row>
    <row r="55" spans="1:36" x14ac:dyDescent="0.2">
      <c r="A55" s="78"/>
      <c r="B55" s="84">
        <v>2</v>
      </c>
      <c r="C55" s="79"/>
      <c r="D55" s="4" t="s">
        <v>56</v>
      </c>
      <c r="E55" s="7"/>
      <c r="F55" s="9"/>
      <c r="G55" s="9"/>
      <c r="H55" s="9"/>
      <c r="I55" s="9"/>
      <c r="J55" s="9"/>
      <c r="K55" s="9"/>
      <c r="L55" s="144"/>
      <c r="M55" s="144"/>
      <c r="N55" s="230">
        <f>ROUND(F55*(1-8.18%),2)</f>
        <v>0</v>
      </c>
      <c r="O55" s="178"/>
      <c r="P55" s="178"/>
      <c r="Q55" s="230">
        <f>ROUND(G55*(1-0.10257103%),2)</f>
        <v>0</v>
      </c>
      <c r="R55" s="335"/>
      <c r="S55" s="335"/>
      <c r="T55" s="230">
        <f>ROUND(H55*(1-5%),2)</f>
        <v>0</v>
      </c>
      <c r="U55" s="363"/>
      <c r="V55" s="363"/>
      <c r="W55" s="230">
        <f>ROUND(I55*(1-0.0030707%),2)</f>
        <v>0</v>
      </c>
      <c r="X55" s="349"/>
      <c r="Y55" s="349"/>
      <c r="Z55" s="230">
        <f>ROUND(J55*(1-5%),2)</f>
        <v>0</v>
      </c>
      <c r="AA55" s="172"/>
      <c r="AB55" s="172"/>
      <c r="AC55" s="230">
        <f>ROUND(K55*(1-1.31%),2)</f>
        <v>0</v>
      </c>
      <c r="AD55" s="508"/>
      <c r="AE55" s="508"/>
      <c r="AF55" s="539"/>
      <c r="AG55" s="539"/>
      <c r="AH55" s="467"/>
      <c r="AI55" s="467"/>
      <c r="AJ55" s="8">
        <f t="shared" si="26"/>
        <v>0</v>
      </c>
    </row>
    <row r="56" spans="1:36" x14ac:dyDescent="0.2">
      <c r="A56" s="78"/>
      <c r="B56" s="84">
        <v>3</v>
      </c>
      <c r="C56" s="85"/>
      <c r="D56" s="4" t="s">
        <v>57</v>
      </c>
      <c r="E56" s="7"/>
      <c r="F56" s="9"/>
      <c r="G56" s="9">
        <v>104541447</v>
      </c>
      <c r="H56" s="9"/>
      <c r="I56" s="9"/>
      <c r="J56" s="9"/>
      <c r="K56" s="9"/>
      <c r="L56" s="144"/>
      <c r="M56" s="144"/>
      <c r="N56" s="230">
        <f>ROUND(F56*(1-8.18%),2)</f>
        <v>0</v>
      </c>
      <c r="O56" s="178"/>
      <c r="P56" s="178"/>
      <c r="Q56" s="230">
        <f>ROUND(G56*(1-0.10257103%),2)</f>
        <v>104434217.76000001</v>
      </c>
      <c r="R56" s="335"/>
      <c r="S56" s="335"/>
      <c r="T56" s="230">
        <f>ROUND(H56*(1-5%),2)</f>
        <v>0</v>
      </c>
      <c r="U56" s="363"/>
      <c r="V56" s="363"/>
      <c r="W56" s="230">
        <f>ROUND(I56*(1-0.0030707%),2)</f>
        <v>0</v>
      </c>
      <c r="X56" s="349"/>
      <c r="Y56" s="349"/>
      <c r="Z56" s="230">
        <f>ROUND(J56*(1-5%),2)</f>
        <v>0</v>
      </c>
      <c r="AA56" s="172"/>
      <c r="AB56" s="172"/>
      <c r="AC56" s="230">
        <f>ROUND(K56*(1-1.31%),2)</f>
        <v>0</v>
      </c>
      <c r="AD56" s="508"/>
      <c r="AE56" s="508"/>
      <c r="AF56" s="539"/>
      <c r="AG56" s="539"/>
      <c r="AH56" s="467"/>
      <c r="AI56" s="467"/>
      <c r="AJ56" s="8">
        <f t="shared" si="26"/>
        <v>107229.23999999464</v>
      </c>
    </row>
    <row r="57" spans="1:36" ht="13.5" thickBot="1" x14ac:dyDescent="0.25">
      <c r="A57" s="78"/>
      <c r="B57" s="84"/>
      <c r="C57" s="79"/>
      <c r="D57" s="57" t="s">
        <v>86</v>
      </c>
      <c r="E57" s="62">
        <f>E50+E51</f>
        <v>19569964.390000001</v>
      </c>
      <c r="F57" s="62">
        <f t="shared" ref="F57:AI57" si="31">F50+F51</f>
        <v>0</v>
      </c>
      <c r="G57" s="62">
        <f t="shared" si="31"/>
        <v>104561599</v>
      </c>
      <c r="H57" s="62">
        <f t="shared" si="31"/>
        <v>8954221</v>
      </c>
      <c r="I57" s="62">
        <f t="shared" si="31"/>
        <v>90748334.689999998</v>
      </c>
      <c r="J57" s="62">
        <f t="shared" si="31"/>
        <v>19</v>
      </c>
      <c r="K57" s="62">
        <f t="shared" si="31"/>
        <v>0</v>
      </c>
      <c r="L57" s="169">
        <f t="shared" si="31"/>
        <v>0</v>
      </c>
      <c r="M57" s="169">
        <f t="shared" si="31"/>
        <v>0</v>
      </c>
      <c r="N57" s="233">
        <f t="shared" ref="N57" si="32">N50+N51</f>
        <v>0</v>
      </c>
      <c r="O57" s="181">
        <f t="shared" si="31"/>
        <v>0</v>
      </c>
      <c r="P57" s="181">
        <f t="shared" si="31"/>
        <v>0</v>
      </c>
      <c r="Q57" s="233">
        <f t="shared" si="31"/>
        <v>104454349.09</v>
      </c>
      <c r="R57" s="410">
        <f t="shared" si="31"/>
        <v>0</v>
      </c>
      <c r="S57" s="410">
        <f t="shared" si="31"/>
        <v>0</v>
      </c>
      <c r="T57" s="233">
        <f t="shared" si="31"/>
        <v>8506509.9499999993</v>
      </c>
      <c r="U57" s="415">
        <f t="shared" si="31"/>
        <v>0</v>
      </c>
      <c r="V57" s="415">
        <f t="shared" si="31"/>
        <v>0</v>
      </c>
      <c r="W57" s="233">
        <f t="shared" si="31"/>
        <v>90745548.079999998</v>
      </c>
      <c r="X57" s="419">
        <f t="shared" si="31"/>
        <v>0</v>
      </c>
      <c r="Y57" s="419">
        <f t="shared" si="31"/>
        <v>0</v>
      </c>
      <c r="Z57" s="233">
        <f t="shared" si="31"/>
        <v>18.05</v>
      </c>
      <c r="AA57" s="175">
        <f t="shared" si="31"/>
        <v>0</v>
      </c>
      <c r="AB57" s="175">
        <f t="shared" si="31"/>
        <v>0</v>
      </c>
      <c r="AC57" s="233">
        <f t="shared" si="31"/>
        <v>0</v>
      </c>
      <c r="AD57" s="534">
        <f t="shared" si="31"/>
        <v>0</v>
      </c>
      <c r="AE57" s="534">
        <f t="shared" si="31"/>
        <v>0</v>
      </c>
      <c r="AF57" s="564">
        <f t="shared" si="31"/>
        <v>0</v>
      </c>
      <c r="AG57" s="564">
        <f t="shared" si="31"/>
        <v>0</v>
      </c>
      <c r="AH57" s="491">
        <f t="shared" si="31"/>
        <v>0</v>
      </c>
      <c r="AI57" s="491">
        <f t="shared" si="31"/>
        <v>0</v>
      </c>
      <c r="AJ57" s="63">
        <f>AJ50+AJ51</f>
        <v>20127712.909999985</v>
      </c>
    </row>
    <row r="58" spans="1:36" ht="16.5" thickBot="1" x14ac:dyDescent="0.3">
      <c r="A58" s="81"/>
      <c r="B58" s="86"/>
      <c r="C58" s="82"/>
      <c r="D58" s="54" t="s">
        <v>3</v>
      </c>
      <c r="E58" s="69">
        <f>E16+E24+E27+E47+E57</f>
        <v>80111937.429999992</v>
      </c>
      <c r="F58" s="70">
        <f t="shared" ref="F58:AI58" si="33">F16+F24+F27+F47+F57</f>
        <v>0</v>
      </c>
      <c r="G58" s="70">
        <f t="shared" si="33"/>
        <v>1051039975</v>
      </c>
      <c r="H58" s="70">
        <f t="shared" si="33"/>
        <v>348135319</v>
      </c>
      <c r="I58" s="70">
        <f t="shared" si="33"/>
        <v>110851422.19999999</v>
      </c>
      <c r="J58" s="70">
        <f t="shared" si="33"/>
        <v>80684913</v>
      </c>
      <c r="K58" s="70">
        <f t="shared" si="33"/>
        <v>0</v>
      </c>
      <c r="L58" s="170">
        <f t="shared" si="33"/>
        <v>0</v>
      </c>
      <c r="M58" s="170">
        <f t="shared" si="33"/>
        <v>0</v>
      </c>
      <c r="N58" s="234">
        <f t="shared" ref="N58" si="34">N16+N24+N27+N47+N57</f>
        <v>0</v>
      </c>
      <c r="O58" s="182">
        <f t="shared" si="33"/>
        <v>-76.655392531787982</v>
      </c>
      <c r="P58" s="182">
        <f t="shared" si="33"/>
        <v>345348.29380458145</v>
      </c>
      <c r="Q58" s="234">
        <f t="shared" si="33"/>
        <v>1049961912.4500002</v>
      </c>
      <c r="R58" s="411">
        <f t="shared" si="33"/>
        <v>-98785.4</v>
      </c>
      <c r="S58" s="411">
        <f t="shared" si="33"/>
        <v>2556429.7000000002</v>
      </c>
      <c r="T58" s="234">
        <f t="shared" si="33"/>
        <v>330728553.05000001</v>
      </c>
      <c r="U58" s="416">
        <f t="shared" si="33"/>
        <v>-31.805729962250002</v>
      </c>
      <c r="V58" s="416">
        <f t="shared" si="33"/>
        <v>402.42572996224993</v>
      </c>
      <c r="W58" s="234">
        <f t="shared" si="33"/>
        <v>110848018.31999999</v>
      </c>
      <c r="X58" s="420">
        <f t="shared" si="33"/>
        <v>-11449.684000000001</v>
      </c>
      <c r="Y58" s="420">
        <f t="shared" si="33"/>
        <v>70250.477500000008</v>
      </c>
      <c r="Z58" s="234">
        <f t="shared" si="33"/>
        <v>76650667.340000004</v>
      </c>
      <c r="AA58" s="176">
        <f t="shared" si="33"/>
        <v>0</v>
      </c>
      <c r="AB58" s="176">
        <f t="shared" si="33"/>
        <v>0</v>
      </c>
      <c r="AC58" s="234">
        <f t="shared" si="33"/>
        <v>0</v>
      </c>
      <c r="AD58" s="535">
        <f t="shared" si="33"/>
        <v>0</v>
      </c>
      <c r="AE58" s="535">
        <f t="shared" si="33"/>
        <v>0</v>
      </c>
      <c r="AF58" s="565">
        <f t="shared" si="33"/>
        <v>0</v>
      </c>
      <c r="AG58" s="565">
        <f t="shared" si="33"/>
        <v>0</v>
      </c>
      <c r="AH58" s="492">
        <f t="shared" si="33"/>
        <v>0</v>
      </c>
      <c r="AI58" s="492">
        <f t="shared" si="33"/>
        <v>0</v>
      </c>
      <c r="AJ58" s="71">
        <f>AJ16+AJ24+AJ27+AJ47+AJ57</f>
        <v>99772328.118087947</v>
      </c>
    </row>
    <row r="59" spans="1:36" ht="13.5" thickTop="1" x14ac:dyDescent="0.2">
      <c r="E59" s="68">
        <f>'ATTIVO PATR'!E92-'PASSIVO PATR'!E58</f>
        <v>0</v>
      </c>
      <c r="F59" s="68">
        <f>'ATTIVO PATR'!F92-'PASSIVO PATR'!F58</f>
        <v>0</v>
      </c>
      <c r="G59" s="68">
        <f>'ATTIVO PATR'!G92-'PASSIVO PATR'!G58</f>
        <v>0</v>
      </c>
      <c r="H59" s="68">
        <f>'ATTIVO PATR'!H92-'PASSIVO PATR'!H58</f>
        <v>0</v>
      </c>
      <c r="I59" s="68">
        <f>'ATTIVO PATR'!I92-'PASSIVO PATR'!I58</f>
        <v>0</v>
      </c>
      <c r="J59" s="68">
        <f>'ATTIVO PATR'!J92-'PASSIVO PATR'!J58</f>
        <v>0</v>
      </c>
      <c r="K59" s="68">
        <f>'ATTIVO PATR'!K92-'PASSIVO PATR'!K58</f>
        <v>0</v>
      </c>
      <c r="L59" s="68">
        <f>'ATTIVO PATR'!L92-'PASSIVO PATR'!L58</f>
        <v>0</v>
      </c>
      <c r="M59" s="68">
        <f>'ATTIVO PATR'!M92-'PASSIVO PATR'!M58</f>
        <v>0</v>
      </c>
      <c r="N59" s="68">
        <f>'ATTIVO PATR'!P92-'PASSIVO PATR'!N58</f>
        <v>375.40268725686997</v>
      </c>
      <c r="O59" s="68">
        <f>'ATTIVO PATR'!O92-'PASSIVO PATR'!O58</f>
        <v>344972.89111732459</v>
      </c>
      <c r="P59" s="68">
        <f>'ATTIVO PATR'!P92-'PASSIVO PATR'!P58</f>
        <v>-344972.89111732459</v>
      </c>
      <c r="Q59" s="68">
        <f>'ATTIVO PATR'!S92-'PASSIVO PATR'!Q58</f>
        <v>-1049961912.4500002</v>
      </c>
      <c r="R59" s="68">
        <f>'ATTIVO PATR'!R92-'PASSIVO PATR'!R58</f>
        <v>2556429.6999999997</v>
      </c>
      <c r="S59" s="68">
        <f>'ATTIVO PATR'!S92-'PASSIVO PATR'!S58</f>
        <v>-2556429.7000000002</v>
      </c>
      <c r="T59" s="68">
        <f>'ATTIVO PATR'!AK92-'PASSIVO PATR'!T58</f>
        <v>-330728553.05000001</v>
      </c>
      <c r="U59" s="68">
        <f>'ATTIVO PATR'!U92-'PASSIVO PATR'!U58</f>
        <v>402.42572996224999</v>
      </c>
      <c r="V59" s="68">
        <f>'ATTIVO PATR'!V92-'PASSIVO PATR'!V58</f>
        <v>-402.42572996224993</v>
      </c>
      <c r="W59" s="68">
        <f>'ATTIVO PATR'!AN92-'PASSIVO PATR'!W58</f>
        <v>-110848018.31999999</v>
      </c>
      <c r="X59" s="68">
        <f>'ATTIVO PATR'!X92-'PASSIVO PATR'!X58</f>
        <v>67271.983999999997</v>
      </c>
      <c r="Y59" s="68">
        <f>'ATTIVO PATR'!Y92-'PASSIVO PATR'!Y58</f>
        <v>-67271.984000000011</v>
      </c>
      <c r="Z59" s="68">
        <f>'ATTIVO PATR'!AQ92-'PASSIVO PATR'!Z58</f>
        <v>-76650667.340000004</v>
      </c>
      <c r="AA59" s="68">
        <f>'ATTIVO PATR'!AA92-'PASSIVO PATR'!AA58</f>
        <v>0</v>
      </c>
      <c r="AB59" s="68">
        <f>'ATTIVO PATR'!AB92-'PASSIVO PATR'!AB58</f>
        <v>0</v>
      </c>
      <c r="AC59" s="68">
        <f>'ATTIVO PATR'!AT92-'PASSIVO PATR'!AC58</f>
        <v>0</v>
      </c>
      <c r="AD59" s="68">
        <f>'ATTIVO PATR'!AD92-'PASSIVO PATR'!AD58</f>
        <v>0</v>
      </c>
      <c r="AE59" s="68">
        <f>'ATTIVO PATR'!AE92-'PASSIVO PATR'!AE58</f>
        <v>0</v>
      </c>
      <c r="AF59" s="68">
        <f>AF58-'ATTIVO PATR'!AF92</f>
        <v>0</v>
      </c>
      <c r="AG59" s="68">
        <f>AG58-'ATTIVO PATR'!AG92</f>
        <v>0</v>
      </c>
      <c r="AH59" s="68">
        <f>'ATTIVO PATR'!AH92-'PASSIVO PATR'!AH58</f>
        <v>0</v>
      </c>
      <c r="AI59" s="68">
        <f>'ATTIVO PATR'!AI92-'PASSIVO PATR'!AI58</f>
        <v>0</v>
      </c>
      <c r="AJ59" s="68">
        <f>'ATTIVO PATR'!AJ92-'PASSIVO PATR'!AJ58</f>
        <v>-1.4901161193847656E-7</v>
      </c>
    </row>
    <row r="60" spans="1:36" x14ac:dyDescent="0.2">
      <c r="L60" s="91"/>
      <c r="O60" s="91"/>
      <c r="AA60" s="91"/>
    </row>
  </sheetData>
  <mergeCells count="33">
    <mergeCell ref="AJ1:AJ2"/>
    <mergeCell ref="E1:E2"/>
    <mergeCell ref="F1:F2"/>
    <mergeCell ref="G1:G2"/>
    <mergeCell ref="K1:K2"/>
    <mergeCell ref="L1:L2"/>
    <mergeCell ref="M1:M2"/>
    <mergeCell ref="O1:O2"/>
    <mergeCell ref="AA1:AA2"/>
    <mergeCell ref="AB1:AB2"/>
    <mergeCell ref="N1:N2"/>
    <mergeCell ref="Q1:Q2"/>
    <mergeCell ref="AC1:AC2"/>
    <mergeCell ref="H1:H2"/>
    <mergeCell ref="I1:I2"/>
    <mergeCell ref="U1:U2"/>
    <mergeCell ref="V1:V2"/>
    <mergeCell ref="W1:W2"/>
    <mergeCell ref="X1:X2"/>
    <mergeCell ref="Y1:Y2"/>
    <mergeCell ref="AD1:AD2"/>
    <mergeCell ref="AE1:AE2"/>
    <mergeCell ref="AH1:AH2"/>
    <mergeCell ref="AI1:AI2"/>
    <mergeCell ref="Z1:Z2"/>
    <mergeCell ref="AF1:AF2"/>
    <mergeCell ref="AG1:AG2"/>
    <mergeCell ref="A1:D2"/>
    <mergeCell ref="P1:P2"/>
    <mergeCell ref="R1:R2"/>
    <mergeCell ref="S1:S2"/>
    <mergeCell ref="T1:T2"/>
    <mergeCell ref="J1:J2"/>
  </mergeCells>
  <phoneticPr fontId="0" type="noConversion"/>
  <pageMargins left="0.74803149606299213" right="0.74803149606299213" top="0.27559055118110237" bottom="0.23622047244094491" header="0.19685039370078741" footer="0.19685039370078741"/>
  <pageSetup paperSize="8" scale="70" fitToHeight="10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9"/>
  <sheetViews>
    <sheetView showGridLines="0" topLeftCell="B1" zoomScaleNormal="100" workbookViewId="0">
      <pane ySplit="2" topLeftCell="A3" activePane="bottomLeft" state="frozen"/>
      <selection pane="bottomLeft" activeCell="D1" sqref="D1:K2"/>
    </sheetView>
  </sheetViews>
  <sheetFormatPr defaultColWidth="9.140625" defaultRowHeight="12.75" x14ac:dyDescent="0.2"/>
  <cols>
    <col min="1" max="1" width="4.5703125" style="83" customWidth="1"/>
    <col min="2" max="2" width="2.42578125" style="83" customWidth="1"/>
    <col min="3" max="3" width="59.5703125" style="3" customWidth="1"/>
    <col min="4" max="4" width="17.5703125" style="3" customWidth="1"/>
    <col min="5" max="5" width="17.5703125" style="3" hidden="1" customWidth="1"/>
    <col min="6" max="9" width="17.5703125" style="3" customWidth="1"/>
    <col min="10" max="10" width="17.5703125" style="3" hidden="1" customWidth="1"/>
    <col min="11" max="11" width="17.5703125" style="3" customWidth="1"/>
    <col min="12" max="16384" width="9.140625" style="3"/>
  </cols>
  <sheetData>
    <row r="1" spans="1:11" ht="13.5" customHeight="1" thickTop="1" x14ac:dyDescent="0.2">
      <c r="A1" s="577" t="s">
        <v>162</v>
      </c>
      <c r="B1" s="578"/>
      <c r="C1" s="579"/>
      <c r="D1" s="572" t="s">
        <v>235</v>
      </c>
      <c r="E1" s="572"/>
      <c r="F1" s="572" t="s">
        <v>236</v>
      </c>
      <c r="G1" s="572" t="s">
        <v>237</v>
      </c>
      <c r="H1" s="572" t="s">
        <v>238</v>
      </c>
      <c r="I1" s="572" t="s">
        <v>239</v>
      </c>
      <c r="J1" s="572"/>
      <c r="K1" s="575" t="s">
        <v>218</v>
      </c>
    </row>
    <row r="2" spans="1:11" ht="13.5" thickBot="1" x14ac:dyDescent="0.25">
      <c r="A2" s="580"/>
      <c r="B2" s="581"/>
      <c r="C2" s="582"/>
      <c r="D2" s="574"/>
      <c r="E2" s="574"/>
      <c r="F2" s="574"/>
      <c r="G2" s="574"/>
      <c r="H2" s="574"/>
      <c r="I2" s="573"/>
      <c r="J2" s="574"/>
      <c r="K2" s="576"/>
    </row>
    <row r="3" spans="1:11" ht="16.5" customHeight="1" thickTop="1" x14ac:dyDescent="0.2">
      <c r="A3" s="76"/>
      <c r="B3" s="77"/>
      <c r="C3" s="4"/>
      <c r="D3" s="5"/>
      <c r="E3" s="5"/>
      <c r="F3" s="5"/>
      <c r="G3" s="5"/>
      <c r="H3" s="5"/>
      <c r="I3" s="5"/>
      <c r="J3" s="5"/>
      <c r="K3" s="257"/>
    </row>
    <row r="4" spans="1:11" x14ac:dyDescent="0.2">
      <c r="A4" s="78"/>
      <c r="B4" s="79"/>
      <c r="C4" s="6" t="s">
        <v>50</v>
      </c>
      <c r="D4" s="7"/>
      <c r="E4" s="7"/>
      <c r="F4" s="7"/>
      <c r="G4" s="7"/>
      <c r="H4" s="7"/>
      <c r="I4" s="7"/>
      <c r="J4" s="7"/>
      <c r="K4" s="258"/>
    </row>
    <row r="5" spans="1:11" x14ac:dyDescent="0.2">
      <c r="A5" s="78">
        <v>1</v>
      </c>
      <c r="B5" s="79"/>
      <c r="C5" s="4" t="s">
        <v>99</v>
      </c>
      <c r="D5" s="9">
        <f>C.ECONOMICO!D5-C.ECONOMICO!K5-C.ECONOMICO!N5-C.ECONOMICO!Q5-C.ECONOMICO!T5-C.ECONOMICO!W5-C.ECONOMICO!Z5</f>
        <v>5646493.0999999996</v>
      </c>
      <c r="E5" s="9">
        <f>C.ECONOMICO!E5-C.ECONOMICO!L5-C.ECONOMICO!M5</f>
        <v>0</v>
      </c>
      <c r="F5" s="9">
        <f>C.ECONOMICO!F5-C.ECONOMICO!O5-C.ECONOMICO!P5</f>
        <v>0</v>
      </c>
      <c r="G5" s="9">
        <f>C.ECONOMICO!G5-C.ECONOMICO!R5-C.ECONOMICO!S5-C.ECONOMICO!AD5-C.ECONOMICO!AH5-C.ECONOMICO!AF5</f>
        <v>0</v>
      </c>
      <c r="H5" s="9">
        <f>C.ECONOMICO!H5-C.ECONOMICO!U5-C.ECONOMICO!V5-C.ECONOMICO!AG5</f>
        <v>0</v>
      </c>
      <c r="I5" s="9">
        <f>C.ECONOMICO!I5-C.ECONOMICO!X5-C.ECONOMICO!Y5-C.ECONOMICO!AC5</f>
        <v>0</v>
      </c>
      <c r="J5" s="9">
        <f>C.ECONOMICO!J5-C.ECONOMICO!AA5-C.ECONOMICO!AB5-C.ECONOMICO!AE5</f>
        <v>0</v>
      </c>
      <c r="K5" s="258">
        <f>SUM(D5:J5)</f>
        <v>5646493.0999999996</v>
      </c>
    </row>
    <row r="6" spans="1:11" x14ac:dyDescent="0.2">
      <c r="A6" s="78">
        <v>2</v>
      </c>
      <c r="B6" s="79"/>
      <c r="C6" s="4" t="s">
        <v>113</v>
      </c>
      <c r="D6" s="9">
        <f>C.ECONOMICO!D6-C.ECONOMICO!K6-C.ECONOMICO!N6-C.ECONOMICO!Q6-C.ECONOMICO!T6-C.ECONOMICO!W6-C.ECONOMICO!Z6</f>
        <v>2594784.4</v>
      </c>
      <c r="E6" s="9">
        <f>C.ECONOMICO!E6-C.ECONOMICO!L6-C.ECONOMICO!M6</f>
        <v>0</v>
      </c>
      <c r="F6" s="9">
        <f>C.ECONOMICO!F6-C.ECONOMICO!O6-C.ECONOMICO!P6</f>
        <v>0</v>
      </c>
      <c r="G6" s="9">
        <f>C.ECONOMICO!G6-C.ECONOMICO!R6-C.ECONOMICO!S6-C.ECONOMICO!AD6-C.ECONOMICO!AH6-C.ECONOMICO!AF6</f>
        <v>0</v>
      </c>
      <c r="H6" s="9">
        <f>C.ECONOMICO!H6-C.ECONOMICO!U6-C.ECONOMICO!V6-C.ECONOMICO!AG6</f>
        <v>0</v>
      </c>
      <c r="I6" s="9">
        <f>C.ECONOMICO!I6-C.ECONOMICO!X6-C.ECONOMICO!Y6-C.ECONOMICO!AC6</f>
        <v>0</v>
      </c>
      <c r="J6" s="9">
        <f>C.ECONOMICO!J6-C.ECONOMICO!AA6-C.ECONOMICO!AB6-C.ECONOMICO!AE6</f>
        <v>0</v>
      </c>
      <c r="K6" s="258">
        <f t="shared" ref="K6:K18" si="0">SUM(D6:J6)</f>
        <v>2594784.4</v>
      </c>
    </row>
    <row r="7" spans="1:11" x14ac:dyDescent="0.2">
      <c r="A7" s="78">
        <v>3</v>
      </c>
      <c r="B7" s="79"/>
      <c r="C7" s="4" t="s">
        <v>115</v>
      </c>
      <c r="D7" s="9">
        <f>C.ECONOMICO!D7-C.ECONOMICO!K7-C.ECONOMICO!N7-C.ECONOMICO!Q7-C.ECONOMICO!T7-C.ECONOMICO!W7-C.ECONOMICO!Z7</f>
        <v>3474494.9</v>
      </c>
      <c r="E7" s="9">
        <f>C.ECONOMICO!E7-C.ECONOMICO!L7-C.ECONOMICO!M7</f>
        <v>0</v>
      </c>
      <c r="F7" s="9">
        <f>C.ECONOMICO!F7-C.ECONOMICO!O7-C.ECONOMICO!P7</f>
        <v>0</v>
      </c>
      <c r="G7" s="9">
        <f>C.ECONOMICO!G7-C.ECONOMICO!R7-C.ECONOMICO!S7-C.ECONOMICO!AD7-C.ECONOMICO!AH7-C.ECONOMICO!AF7</f>
        <v>85978.449999999953</v>
      </c>
      <c r="H7" s="9">
        <f>C.ECONOMICO!H7-C.ECONOMICO!U7-C.ECONOMICO!V7-C.ECONOMICO!AG7</f>
        <v>540.28427003696561</v>
      </c>
      <c r="I7" s="9">
        <f>C.ECONOMICO!I7-C.ECONOMICO!X7-C.ECONOMICO!Y7-C.ECONOMICO!AC7</f>
        <v>315</v>
      </c>
      <c r="J7" s="9">
        <f>C.ECONOMICO!J7-C.ECONOMICO!AA7-C.ECONOMICO!AB7-C.ECONOMICO!AE7</f>
        <v>0</v>
      </c>
      <c r="K7" s="258">
        <f t="shared" si="0"/>
        <v>3561328.6342700366</v>
      </c>
    </row>
    <row r="8" spans="1:11" x14ac:dyDescent="0.2">
      <c r="A8" s="78"/>
      <c r="B8" s="79" t="s">
        <v>29</v>
      </c>
      <c r="C8" s="10" t="s">
        <v>214</v>
      </c>
      <c r="D8" s="9">
        <f>C.ECONOMICO!D8-C.ECONOMICO!K8-C.ECONOMICO!N8-C.ECONOMICO!Q8-C.ECONOMICO!T8-C.ECONOMICO!W8-C.ECONOMICO!Z8</f>
        <v>2796549.38</v>
      </c>
      <c r="E8" s="9">
        <f>C.ECONOMICO!E8-C.ECONOMICO!L8-C.ECONOMICO!M8</f>
        <v>0</v>
      </c>
      <c r="F8" s="9">
        <f>C.ECONOMICO!F8-C.ECONOMICO!O8-C.ECONOMICO!P8</f>
        <v>0</v>
      </c>
      <c r="G8" s="9">
        <f>C.ECONOMICO!G8-C.ECONOMICO!R8-C.ECONOMICO!S8-C.ECONOMICO!AD8-C.ECONOMICO!AH8-C.ECONOMICO!AF8</f>
        <v>85978.449999999953</v>
      </c>
      <c r="H8" s="9">
        <f>C.ECONOMICO!H8-C.ECONOMICO!U8-C.ECONOMICO!V8-C.ECONOMICO!AG8</f>
        <v>81.134270037990063</v>
      </c>
      <c r="I8" s="9">
        <f>C.ECONOMICO!I8-C.ECONOMICO!X8-C.ECONOMICO!Y8-C.ECONOMICO!AC8</f>
        <v>315</v>
      </c>
      <c r="J8" s="9">
        <f>C.ECONOMICO!J8-C.ECONOMICO!AA8-C.ECONOMICO!AB8-C.ECONOMICO!AE8</f>
        <v>0</v>
      </c>
      <c r="K8" s="258">
        <f t="shared" si="0"/>
        <v>2882923.9642700381</v>
      </c>
    </row>
    <row r="9" spans="1:11" x14ac:dyDescent="0.2">
      <c r="A9" s="78"/>
      <c r="B9" s="79" t="s">
        <v>30</v>
      </c>
      <c r="C9" s="10" t="s">
        <v>114</v>
      </c>
      <c r="D9" s="9">
        <f>C.ECONOMICO!D9-C.ECONOMICO!K9-C.ECONOMICO!N9-C.ECONOMICO!Q9-C.ECONOMICO!T9-C.ECONOMICO!W9-C.ECONOMICO!Z9</f>
        <v>677945.52</v>
      </c>
      <c r="E9" s="9">
        <f>C.ECONOMICO!E9-C.ECONOMICO!L9-C.ECONOMICO!M9</f>
        <v>0</v>
      </c>
      <c r="F9" s="9">
        <f>C.ECONOMICO!F9-C.ECONOMICO!O9-C.ECONOMICO!P9</f>
        <v>0</v>
      </c>
      <c r="G9" s="9">
        <f>C.ECONOMICO!G9-C.ECONOMICO!R9-C.ECONOMICO!S9-C.ECONOMICO!AD9-C.ECONOMICO!AH9-C.ECONOMICO!AF9</f>
        <v>0</v>
      </c>
      <c r="H9" s="9">
        <f>C.ECONOMICO!H9-C.ECONOMICO!U9-C.ECONOMICO!V9-C.ECONOMICO!AG9</f>
        <v>0</v>
      </c>
      <c r="I9" s="9">
        <f>C.ECONOMICO!I9-C.ECONOMICO!X9-C.ECONOMICO!Y9-C.ECONOMICO!AC9</f>
        <v>0</v>
      </c>
      <c r="J9" s="9">
        <f>C.ECONOMICO!J9-C.ECONOMICO!AA9-C.ECONOMICO!AB9-C.ECONOMICO!AE9</f>
        <v>0</v>
      </c>
      <c r="K9" s="258">
        <f t="shared" si="0"/>
        <v>677945.52</v>
      </c>
    </row>
    <row r="10" spans="1:11" x14ac:dyDescent="0.2">
      <c r="A10" s="78"/>
      <c r="B10" s="79" t="s">
        <v>31</v>
      </c>
      <c r="C10" s="10" t="s">
        <v>192</v>
      </c>
      <c r="D10" s="9">
        <f>C.ECONOMICO!D10-C.ECONOMICO!K10-C.ECONOMICO!N10-C.ECONOMICO!Q10-C.ECONOMICO!T10-C.ECONOMICO!W10-C.ECONOMICO!Z10</f>
        <v>0</v>
      </c>
      <c r="E10" s="9">
        <f>C.ECONOMICO!E10-C.ECONOMICO!L10-C.ECONOMICO!M10</f>
        <v>0</v>
      </c>
      <c r="F10" s="9">
        <f>C.ECONOMICO!F10-C.ECONOMICO!O10-C.ECONOMICO!P10</f>
        <v>0</v>
      </c>
      <c r="G10" s="9">
        <f>C.ECONOMICO!G10-C.ECONOMICO!R10-C.ECONOMICO!S10-C.ECONOMICO!AD10-C.ECONOMICO!AH10-C.ECONOMICO!AF10</f>
        <v>0</v>
      </c>
      <c r="H10" s="9">
        <f>C.ECONOMICO!H10-C.ECONOMICO!U10-C.ECONOMICO!V10-C.ECONOMICO!AG10</f>
        <v>459.15000000037253</v>
      </c>
      <c r="I10" s="9">
        <f>C.ECONOMICO!I10-C.ECONOMICO!X10-C.ECONOMICO!Y10-C.ECONOMICO!AC10</f>
        <v>0</v>
      </c>
      <c r="J10" s="9">
        <f>C.ECONOMICO!J10-C.ECONOMICO!AA10-C.ECONOMICO!AB10-C.ECONOMICO!AE10</f>
        <v>0</v>
      </c>
      <c r="K10" s="258">
        <f t="shared" si="0"/>
        <v>459.15000000037253</v>
      </c>
    </row>
    <row r="11" spans="1:11" x14ac:dyDescent="0.2">
      <c r="A11" s="78">
        <v>4</v>
      </c>
      <c r="B11" s="79"/>
      <c r="C11" s="4" t="s">
        <v>67</v>
      </c>
      <c r="D11" s="9">
        <f>C.ECONOMICO!D11-C.ECONOMICO!K11-C.ECONOMICO!N11-C.ECONOMICO!Q11-C.ECONOMICO!T11-C.ECONOMICO!W11-C.ECONOMICO!Z11</f>
        <v>164298.63</v>
      </c>
      <c r="E11" s="9">
        <f>C.ECONOMICO!E11-C.ECONOMICO!L11-C.ECONOMICO!M11</f>
        <v>0</v>
      </c>
      <c r="F11" s="9">
        <f>C.ECONOMICO!F11-C.ECONOMICO!O11-C.ECONOMICO!P11</f>
        <v>277257.72940665483</v>
      </c>
      <c r="G11" s="9">
        <f>C.ECONOMICO!G11-C.ECONOMICO!R11-C.ECONOMICO!S11-C.ECONOMICO!AD11-C.ECONOMICO!AH11-C.ECONOMICO!AF11</f>
        <v>491543.75</v>
      </c>
      <c r="H11" s="9">
        <f>C.ECONOMICO!H11-C.ECONOMICO!U11-C.ECONOMICO!V11-C.ECONOMICO!AG11</f>
        <v>0</v>
      </c>
      <c r="I11" s="9">
        <f>C.ECONOMICO!I11-C.ECONOMICO!X11-C.ECONOMICO!Y11-C.ECONOMICO!AC11</f>
        <v>2025716.6829999983</v>
      </c>
      <c r="J11" s="9">
        <f>C.ECONOMICO!J11-C.ECONOMICO!AA11-C.ECONOMICO!AB11-C.ECONOMICO!AE11</f>
        <v>0</v>
      </c>
      <c r="K11" s="258">
        <f t="shared" si="0"/>
        <v>2958816.7924066531</v>
      </c>
    </row>
    <row r="12" spans="1:11" x14ac:dyDescent="0.2">
      <c r="A12" s="78"/>
      <c r="B12" s="79" t="s">
        <v>29</v>
      </c>
      <c r="C12" s="4" t="s">
        <v>161</v>
      </c>
      <c r="D12" s="9">
        <f>C.ECONOMICO!D12-C.ECONOMICO!K12-C.ECONOMICO!N12-C.ECONOMICO!Q12-C.ECONOMICO!T12-C.ECONOMICO!W12-C.ECONOMICO!Z12</f>
        <v>43146.78</v>
      </c>
      <c r="E12" s="9">
        <f>C.ECONOMICO!E12-C.ECONOMICO!L12-C.ECONOMICO!M12</f>
        <v>0</v>
      </c>
      <c r="F12" s="9">
        <f>C.ECONOMICO!F12-C.ECONOMICO!O12-C.ECONOMICO!P12</f>
        <v>0</v>
      </c>
      <c r="G12" s="9">
        <f>C.ECONOMICO!G12-C.ECONOMICO!R12-C.ECONOMICO!S12-C.ECONOMICO!AD12-C.ECONOMICO!AH12-C.ECONOMICO!AF12</f>
        <v>0</v>
      </c>
      <c r="H12" s="9">
        <f>C.ECONOMICO!H12-C.ECONOMICO!U12-C.ECONOMICO!V12-C.ECONOMICO!AG12</f>
        <v>0</v>
      </c>
      <c r="I12" s="9">
        <f>C.ECONOMICO!I12-C.ECONOMICO!X12-C.ECONOMICO!Y12-C.ECONOMICO!AC12</f>
        <v>0</v>
      </c>
      <c r="J12" s="9">
        <f>C.ECONOMICO!J12-C.ECONOMICO!AA12-C.ECONOMICO!AB12-C.ECONOMICO!AE12</f>
        <v>0</v>
      </c>
      <c r="K12" s="258">
        <f t="shared" si="0"/>
        <v>43146.78</v>
      </c>
    </row>
    <row r="13" spans="1:11" ht="15" x14ac:dyDescent="0.2">
      <c r="A13" s="78"/>
      <c r="B13" s="80" t="s">
        <v>30</v>
      </c>
      <c r="C13" s="11" t="s">
        <v>206</v>
      </c>
      <c r="D13" s="9">
        <f>C.ECONOMICO!D13-C.ECONOMICO!K13-C.ECONOMICO!N13-C.ECONOMICO!Q13-C.ECONOMICO!T13-C.ECONOMICO!W13-C.ECONOMICO!Z13</f>
        <v>0</v>
      </c>
      <c r="E13" s="9">
        <f>C.ECONOMICO!E13-C.ECONOMICO!L13-C.ECONOMICO!M13</f>
        <v>0</v>
      </c>
      <c r="F13" s="9">
        <f>C.ECONOMICO!F13-C.ECONOMICO!O13-C.ECONOMICO!P13</f>
        <v>0</v>
      </c>
      <c r="G13" s="9">
        <f>C.ECONOMICO!G13-C.ECONOMICO!R13-C.ECONOMICO!S13-C.ECONOMICO!AD13-C.ECONOMICO!AH13-C.ECONOMICO!AF13</f>
        <v>0</v>
      </c>
      <c r="H13" s="9">
        <f>C.ECONOMICO!H13-C.ECONOMICO!U13-C.ECONOMICO!V13-C.ECONOMICO!AG13</f>
        <v>0</v>
      </c>
      <c r="I13" s="9">
        <f>C.ECONOMICO!I13-C.ECONOMICO!X13-C.ECONOMICO!Y13-C.ECONOMICO!AC13</f>
        <v>0</v>
      </c>
      <c r="J13" s="9">
        <f>C.ECONOMICO!J13-C.ECONOMICO!AA13-C.ECONOMICO!AB13-C.ECONOMICO!AE13</f>
        <v>0</v>
      </c>
      <c r="K13" s="258">
        <f t="shared" si="0"/>
        <v>0</v>
      </c>
    </row>
    <row r="14" spans="1:11" ht="15" x14ac:dyDescent="0.2">
      <c r="A14" s="78"/>
      <c r="B14" s="80" t="s">
        <v>31</v>
      </c>
      <c r="C14" s="11" t="s">
        <v>207</v>
      </c>
      <c r="D14" s="9">
        <f>C.ECONOMICO!D14-C.ECONOMICO!K14-C.ECONOMICO!N14-C.ECONOMICO!Q14-C.ECONOMICO!T14-C.ECONOMICO!W14-C.ECONOMICO!Z14</f>
        <v>121151.85</v>
      </c>
      <c r="E14" s="9">
        <f>C.ECONOMICO!E14-C.ECONOMICO!L14-C.ECONOMICO!M14</f>
        <v>0</v>
      </c>
      <c r="F14" s="9">
        <f>C.ECONOMICO!F14-C.ECONOMICO!O14-C.ECONOMICO!P14</f>
        <v>277257.72940665483</v>
      </c>
      <c r="G14" s="9">
        <f>C.ECONOMICO!G14-C.ECONOMICO!R14-C.ECONOMICO!S14-C.ECONOMICO!AD14-C.ECONOMICO!AH14-C.ECONOMICO!AF14</f>
        <v>491543.75</v>
      </c>
      <c r="H14" s="9">
        <f>C.ECONOMICO!H14-C.ECONOMICO!U14-C.ECONOMICO!V14-C.ECONOMICO!AG14</f>
        <v>0</v>
      </c>
      <c r="I14" s="9">
        <f>C.ECONOMICO!I14-C.ECONOMICO!X14-C.ECONOMICO!Y14-C.ECONOMICO!AC14</f>
        <v>2025716.6829999983</v>
      </c>
      <c r="J14" s="9">
        <f>C.ECONOMICO!J14-C.ECONOMICO!AA14-C.ECONOMICO!AB14-C.ECONOMICO!AE14</f>
        <v>0</v>
      </c>
      <c r="K14" s="258">
        <f t="shared" si="0"/>
        <v>2915670.0124066533</v>
      </c>
    </row>
    <row r="15" spans="1:11" ht="14.25" customHeight="1" x14ac:dyDescent="0.2">
      <c r="A15" s="78">
        <v>5</v>
      </c>
      <c r="B15" s="79"/>
      <c r="C15" s="12" t="s">
        <v>5</v>
      </c>
      <c r="D15" s="9">
        <f>C.ECONOMICO!D15-C.ECONOMICO!K15-C.ECONOMICO!N15-C.ECONOMICO!Q15-C.ECONOMICO!T15-C.ECONOMICO!W15-C.ECONOMICO!Z15</f>
        <v>0</v>
      </c>
      <c r="E15" s="9">
        <f>C.ECONOMICO!E15-C.ECONOMICO!L15-C.ECONOMICO!M15</f>
        <v>0</v>
      </c>
      <c r="F15" s="9">
        <f>C.ECONOMICO!F15-C.ECONOMICO!O15-C.ECONOMICO!P15</f>
        <v>0</v>
      </c>
      <c r="G15" s="9">
        <f>C.ECONOMICO!G15-C.ECONOMICO!R15-C.ECONOMICO!S15-C.ECONOMICO!AD15-C.ECONOMICO!AH15-C.ECONOMICO!AF15</f>
        <v>0</v>
      </c>
      <c r="H15" s="9">
        <f>C.ECONOMICO!H15-C.ECONOMICO!U15-C.ECONOMICO!V15-C.ECONOMICO!AG15</f>
        <v>0</v>
      </c>
      <c r="I15" s="9">
        <f>C.ECONOMICO!I15-C.ECONOMICO!X15-C.ECONOMICO!Y15-C.ECONOMICO!AC15</f>
        <v>0</v>
      </c>
      <c r="J15" s="9">
        <f>C.ECONOMICO!J15-C.ECONOMICO!AA15-C.ECONOMICO!AB15-C.ECONOMICO!AE15</f>
        <v>0</v>
      </c>
      <c r="K15" s="258">
        <f t="shared" si="0"/>
        <v>0</v>
      </c>
    </row>
    <row r="16" spans="1:11" x14ac:dyDescent="0.2">
      <c r="A16" s="78">
        <v>6</v>
      </c>
      <c r="B16" s="79"/>
      <c r="C16" s="12" t="s">
        <v>87</v>
      </c>
      <c r="D16" s="9">
        <f>C.ECONOMICO!D16-C.ECONOMICO!K16-C.ECONOMICO!N16-C.ECONOMICO!Q16-C.ECONOMICO!T16-C.ECONOMICO!W16-C.ECONOMICO!Z16</f>
        <v>0</v>
      </c>
      <c r="E16" s="9">
        <f>C.ECONOMICO!E16-C.ECONOMICO!L16-C.ECONOMICO!M16</f>
        <v>0</v>
      </c>
      <c r="F16" s="9">
        <f>C.ECONOMICO!F16-C.ECONOMICO!O16-C.ECONOMICO!P16</f>
        <v>0</v>
      </c>
      <c r="G16" s="9">
        <f>C.ECONOMICO!G16-C.ECONOMICO!R16-C.ECONOMICO!S16-C.ECONOMICO!AD16-C.ECONOMICO!AH16-C.ECONOMICO!AF16</f>
        <v>0</v>
      </c>
      <c r="H16" s="9">
        <f>C.ECONOMICO!H16-C.ECONOMICO!U16-C.ECONOMICO!V16-C.ECONOMICO!AG16</f>
        <v>0</v>
      </c>
      <c r="I16" s="9">
        <f>C.ECONOMICO!I16-C.ECONOMICO!X16-C.ECONOMICO!Y16-C.ECONOMICO!AC16</f>
        <v>0</v>
      </c>
      <c r="J16" s="9">
        <f>C.ECONOMICO!J16-C.ECONOMICO!AA16-C.ECONOMICO!AB16-C.ECONOMICO!AE16</f>
        <v>0</v>
      </c>
      <c r="K16" s="258">
        <f t="shared" si="0"/>
        <v>0</v>
      </c>
    </row>
    <row r="17" spans="1:11" x14ac:dyDescent="0.2">
      <c r="A17" s="78">
        <v>7</v>
      </c>
      <c r="B17" s="79"/>
      <c r="C17" s="4" t="s">
        <v>4</v>
      </c>
      <c r="D17" s="9">
        <f>C.ECONOMICO!D17-C.ECONOMICO!K17-C.ECONOMICO!N17-C.ECONOMICO!Q17-C.ECONOMICO!T17-C.ECONOMICO!W17-C.ECONOMICO!Z17</f>
        <v>0</v>
      </c>
      <c r="E17" s="9">
        <f>C.ECONOMICO!E17-C.ECONOMICO!L17-C.ECONOMICO!M17</f>
        <v>0</v>
      </c>
      <c r="F17" s="9">
        <f>C.ECONOMICO!F17-C.ECONOMICO!O17-C.ECONOMICO!P17</f>
        <v>1185.5400000000373</v>
      </c>
      <c r="G17" s="9">
        <f>C.ECONOMICO!G17-C.ECONOMICO!R17-C.ECONOMICO!S17-C.ECONOMICO!AD17-C.ECONOMICO!AH17-C.ECONOMICO!AF17</f>
        <v>0</v>
      </c>
      <c r="H17" s="9">
        <f>C.ECONOMICO!H17-C.ECONOMICO!U17-C.ECONOMICO!V17-C.ECONOMICO!AG17</f>
        <v>0</v>
      </c>
      <c r="I17" s="9">
        <f>C.ECONOMICO!I17-C.ECONOMICO!X17-C.ECONOMICO!Y17-C.ECONOMICO!AC17</f>
        <v>8055.3500000000058</v>
      </c>
      <c r="J17" s="9">
        <f>C.ECONOMICO!J17-C.ECONOMICO!AA17-C.ECONOMICO!AB17-C.ECONOMICO!AE17</f>
        <v>0</v>
      </c>
      <c r="K17" s="258">
        <f t="shared" si="0"/>
        <v>9240.8900000000431</v>
      </c>
    </row>
    <row r="18" spans="1:11" ht="13.5" thickBot="1" x14ac:dyDescent="0.25">
      <c r="A18" s="78">
        <v>8</v>
      </c>
      <c r="B18" s="79"/>
      <c r="C18" s="4" t="s">
        <v>118</v>
      </c>
      <c r="D18" s="9">
        <f>C.ECONOMICO!D18-C.ECONOMICO!K18-C.ECONOMICO!N18-C.ECONOMICO!Q18-C.ECONOMICO!T18-C.ECONOMICO!W18-C.ECONOMICO!Z18</f>
        <v>94826.35</v>
      </c>
      <c r="E18" s="9">
        <f>C.ECONOMICO!E18-C.ECONOMICO!L18-C.ECONOMICO!M18</f>
        <v>0</v>
      </c>
      <c r="F18" s="9">
        <f>C.ECONOMICO!F18-C.ECONOMICO!O18-C.ECONOMICO!P18</f>
        <v>21067.329999998212</v>
      </c>
      <c r="G18" s="9">
        <f>C.ECONOMICO!G18-C.ECONOMICO!R18-C.ECONOMICO!S18-C.ECONOMICO!AD18-C.ECONOMICO!AH18-C.ECONOMICO!AF18</f>
        <v>444117.80000000075</v>
      </c>
      <c r="H18" s="9">
        <f>C.ECONOMICO!H18-C.ECONOMICO!U18-C.ECONOMICO!V18-C.ECONOMICO!AG18</f>
        <v>1.5399999999935972</v>
      </c>
      <c r="I18" s="9">
        <f>C.ECONOMICO!I18-C.ECONOMICO!X18-C.ECONOMICO!Y18-C.ECONOMICO!AC18</f>
        <v>388377.98950000014</v>
      </c>
      <c r="J18" s="9">
        <f>C.ECONOMICO!J18-C.ECONOMICO!AA18-C.ECONOMICO!AB18-C.ECONOMICO!AE18</f>
        <v>0</v>
      </c>
      <c r="K18" s="258">
        <f t="shared" si="0"/>
        <v>948391.00949999911</v>
      </c>
    </row>
    <row r="19" spans="1:11" ht="13.5" thickBot="1" x14ac:dyDescent="0.25">
      <c r="A19" s="78"/>
      <c r="B19" s="79"/>
      <c r="C19" s="13" t="s">
        <v>52</v>
      </c>
      <c r="D19" s="14">
        <f>D5+D6+D7+D11+D15+D16+D18+D17</f>
        <v>11974897.380000001</v>
      </c>
      <c r="E19" s="14">
        <f t="shared" ref="E19:K19" si="1">E5+E6+E7+E11+E15+E16+E18+E17</f>
        <v>0</v>
      </c>
      <c r="F19" s="14">
        <f t="shared" si="1"/>
        <v>299510.59940665308</v>
      </c>
      <c r="G19" s="14">
        <f t="shared" si="1"/>
        <v>1021640.0000000007</v>
      </c>
      <c r="H19" s="14">
        <f t="shared" si="1"/>
        <v>541.82427003695921</v>
      </c>
      <c r="I19" s="14">
        <f t="shared" si="1"/>
        <v>2422465.0224999986</v>
      </c>
      <c r="J19" s="14">
        <f t="shared" si="1"/>
        <v>0</v>
      </c>
      <c r="K19" s="259">
        <f t="shared" si="1"/>
        <v>15719054.82617669</v>
      </c>
    </row>
    <row r="20" spans="1:11" x14ac:dyDescent="0.2">
      <c r="A20" s="78"/>
      <c r="B20" s="79"/>
      <c r="C20" s="4"/>
      <c r="D20" s="16"/>
      <c r="E20" s="16"/>
      <c r="F20" s="16"/>
      <c r="G20" s="16"/>
      <c r="H20" s="16"/>
      <c r="I20" s="16"/>
      <c r="J20" s="16"/>
      <c r="K20" s="260"/>
    </row>
    <row r="21" spans="1:11" x14ac:dyDescent="0.2">
      <c r="A21" s="78"/>
      <c r="B21" s="79"/>
      <c r="C21" s="6" t="s">
        <v>51</v>
      </c>
      <c r="D21" s="16"/>
      <c r="E21" s="16"/>
      <c r="F21" s="16"/>
      <c r="G21" s="16"/>
      <c r="H21" s="16"/>
      <c r="I21" s="16"/>
      <c r="J21" s="16"/>
      <c r="K21" s="260"/>
    </row>
    <row r="22" spans="1:11" x14ac:dyDescent="0.2">
      <c r="A22" s="78">
        <v>9</v>
      </c>
      <c r="B22" s="79"/>
      <c r="C22" s="18" t="s">
        <v>6</v>
      </c>
      <c r="D22" s="9">
        <f>C.ECONOMICO!D22-C.ECONOMICO!K22-C.ECONOMICO!N22-C.ECONOMICO!Q22-C.ECONOMICO!T22-C.ECONOMICO!W22-C.ECONOMICO!Z22</f>
        <v>148689.85999999999</v>
      </c>
      <c r="E22" s="9">
        <f>C.ECONOMICO!E22-C.ECONOMICO!L22-C.ECONOMICO!M22</f>
        <v>0</v>
      </c>
      <c r="F22" s="9">
        <f>C.ECONOMICO!F22-C.ECONOMICO!O22-C.ECONOMICO!P22</f>
        <v>17250.780000001192</v>
      </c>
      <c r="G22" s="9">
        <f>C.ECONOMICO!G22-C.ECONOMICO!R22-C.ECONOMICO!S22-C.ECONOMICO!AD22-C.ECONOMICO!AH22-C.ECONOMICO!AF22</f>
        <v>4818.8999999999942</v>
      </c>
      <c r="H22" s="9">
        <f>C.ECONOMICO!H22-C.ECONOMICO!U22-C.ECONOMICO!V22-C.ECONOMICO!AG22</f>
        <v>0.31999999999970896</v>
      </c>
      <c r="I22" s="9">
        <f>C.ECONOMICO!I22-C.ECONOMICO!X22-C.ECONOMICO!Y22-C.ECONOMICO!AC22</f>
        <v>435791.20000000019</v>
      </c>
      <c r="J22" s="9">
        <f>C.ECONOMICO!J22-C.ECONOMICO!AA22-C.ECONOMICO!AB22-C.ECONOMICO!AE22</f>
        <v>0</v>
      </c>
      <c r="K22" s="258">
        <f>SUM(D22:J22)</f>
        <v>606551.06000000134</v>
      </c>
    </row>
    <row r="23" spans="1:11" x14ac:dyDescent="0.2">
      <c r="A23" s="78">
        <v>10</v>
      </c>
      <c r="B23" s="79"/>
      <c r="C23" s="4" t="s">
        <v>152</v>
      </c>
      <c r="D23" s="9">
        <f>C.ECONOMICO!D23-C.ECONOMICO!K23-C.ECONOMICO!N23-C.ECONOMICO!Q23-C.ECONOMICO!T23-C.ECONOMICO!W23-C.ECONOMICO!Z23</f>
        <v>3198249.7124066344</v>
      </c>
      <c r="E23" s="9">
        <f>C.ECONOMICO!E23-C.ECONOMICO!L23-C.ECONOMICO!M23</f>
        <v>0</v>
      </c>
      <c r="F23" s="9">
        <f>C.ECONOMICO!F23-C.ECONOMICO!O23-C.ECONOMICO!P23</f>
        <v>103754.95000000298</v>
      </c>
      <c r="G23" s="9">
        <f>C.ECONOMICO!G23-C.ECONOMICO!R23-C.ECONOMICO!S23-C.ECONOMICO!AD23-C.ECONOMICO!AH23-C.ECONOMICO!AF23</f>
        <v>110381.64999999991</v>
      </c>
      <c r="H23" s="9">
        <f>C.ECONOMICO!H23-C.ECONOMICO!U23-C.ECONOMICO!V23-C.ECONOMICO!AG23</f>
        <v>17.709999999962747</v>
      </c>
      <c r="I23" s="9">
        <f>C.ECONOMICO!I23-C.ECONOMICO!X23-C.ECONOMICO!Y23-C.ECONOMICO!AC23</f>
        <v>744355.25</v>
      </c>
      <c r="J23" s="9">
        <f>C.ECONOMICO!J23-C.ECONOMICO!AA23-C.ECONOMICO!AB23-C.ECONOMICO!AE23</f>
        <v>0</v>
      </c>
      <c r="K23" s="258">
        <f t="shared" ref="K23:K38" si="2">SUM(D23:J23)</f>
        <v>4156759.2724066372</v>
      </c>
    </row>
    <row r="24" spans="1:11" x14ac:dyDescent="0.2">
      <c r="A24" s="78">
        <v>11</v>
      </c>
      <c r="B24" s="79"/>
      <c r="C24" s="4" t="s">
        <v>215</v>
      </c>
      <c r="D24" s="9">
        <f>C.ECONOMICO!D24-C.ECONOMICO!K24-C.ECONOMICO!N24-C.ECONOMICO!Q24-C.ECONOMICO!T24-C.ECONOMICO!W24-C.ECONOMICO!Z24</f>
        <v>77544.320000000007</v>
      </c>
      <c r="E24" s="9">
        <f>C.ECONOMICO!E24-C.ECONOMICO!L24-C.ECONOMICO!M24</f>
        <v>0</v>
      </c>
      <c r="F24" s="9">
        <f>C.ECONOMICO!F24-C.ECONOMICO!O24-C.ECONOMICO!P24</f>
        <v>7084.2199999997392</v>
      </c>
      <c r="G24" s="9">
        <f>C.ECONOMICO!G24-C.ECONOMICO!R24-C.ECONOMICO!S24-C.ECONOMICO!AD24-C.ECONOMICO!AH24-C.ECONOMICO!AF24</f>
        <v>966.09999999999854</v>
      </c>
      <c r="H24" s="9">
        <f>C.ECONOMICO!H24-C.ECONOMICO!U24-C.ECONOMICO!V24-C.ECONOMICO!AG24</f>
        <v>4.7700000000186265</v>
      </c>
      <c r="I24" s="9">
        <f>C.ECONOMICO!I24-C.ECONOMICO!X24-C.ECONOMICO!Y24-C.ECONOMICO!AC24</f>
        <v>433415</v>
      </c>
      <c r="J24" s="9">
        <f>C.ECONOMICO!J24-C.ECONOMICO!AA24-C.ECONOMICO!AB24-C.ECONOMICO!AE24</f>
        <v>0</v>
      </c>
      <c r="K24" s="258">
        <f t="shared" si="2"/>
        <v>519014.4099999998</v>
      </c>
    </row>
    <row r="25" spans="1:11" x14ac:dyDescent="0.2">
      <c r="A25" s="78">
        <v>12</v>
      </c>
      <c r="B25" s="79"/>
      <c r="C25" s="4" t="s">
        <v>116</v>
      </c>
      <c r="D25" s="9">
        <f>C.ECONOMICO!D25-C.ECONOMICO!K25-C.ECONOMICO!N25-C.ECONOMICO!Q25-C.ECONOMICO!T25-C.ECONOMICO!W25-C.ECONOMICO!Z25</f>
        <v>1837790.5042700376</v>
      </c>
      <c r="E25" s="9">
        <f>C.ECONOMICO!E25-C.ECONOMICO!L25-C.ECONOMICO!M25</f>
        <v>0</v>
      </c>
      <c r="F25" s="9">
        <f>C.ECONOMICO!F25-C.ECONOMICO!O25-C.ECONOMICO!P25</f>
        <v>0</v>
      </c>
      <c r="G25" s="9">
        <f>C.ECONOMICO!G25-C.ECONOMICO!R25-C.ECONOMICO!S25-C.ECONOMICO!AD25-C.ECONOMICO!AH25-C.ECONOMICO!AF25</f>
        <v>0</v>
      </c>
      <c r="H25" s="9">
        <f>C.ECONOMICO!H25-C.ECONOMICO!U25-C.ECONOMICO!V25-C.ECONOMICO!AG25</f>
        <v>459.15000000037253</v>
      </c>
      <c r="I25" s="9">
        <f>C.ECONOMICO!I25-C.ECONOMICO!X25-C.ECONOMICO!Y25-C.ECONOMICO!AC25</f>
        <v>0</v>
      </c>
      <c r="J25" s="9">
        <f>C.ECONOMICO!J25-C.ECONOMICO!AA25-C.ECONOMICO!AB25-C.ECONOMICO!AE25</f>
        <v>0</v>
      </c>
      <c r="K25" s="258">
        <f t="shared" si="2"/>
        <v>1838249.654270038</v>
      </c>
    </row>
    <row r="26" spans="1:11" x14ac:dyDescent="0.2">
      <c r="A26" s="78"/>
      <c r="B26" s="79" t="s">
        <v>29</v>
      </c>
      <c r="C26" s="10" t="s">
        <v>100</v>
      </c>
      <c r="D26" s="9">
        <f>C.ECONOMICO!D26-C.ECONOMICO!K26-C.ECONOMICO!N26-C.ECONOMICO!Q26-C.ECONOMICO!T26-C.ECONOMICO!W26-C.ECONOMICO!Z26</f>
        <v>1737790.5042700376</v>
      </c>
      <c r="E26" s="9">
        <f>C.ECONOMICO!E26-C.ECONOMICO!L26-C.ECONOMICO!M26</f>
        <v>0</v>
      </c>
      <c r="F26" s="9">
        <f>C.ECONOMICO!F26-C.ECONOMICO!O26-C.ECONOMICO!P26</f>
        <v>0</v>
      </c>
      <c r="G26" s="9">
        <f>C.ECONOMICO!G26-C.ECONOMICO!R26-C.ECONOMICO!S26-C.ECONOMICO!AD26-C.ECONOMICO!AH26-C.ECONOMICO!AF26</f>
        <v>0</v>
      </c>
      <c r="H26" s="9">
        <f>C.ECONOMICO!H26-C.ECONOMICO!U26-C.ECONOMICO!V26-C.ECONOMICO!AG26</f>
        <v>0</v>
      </c>
      <c r="I26" s="9">
        <f>C.ECONOMICO!I26-C.ECONOMICO!X26-C.ECONOMICO!Y26-C.ECONOMICO!AC26</f>
        <v>0</v>
      </c>
      <c r="J26" s="9">
        <f>C.ECONOMICO!J26-C.ECONOMICO!AA26-C.ECONOMICO!AB26-C.ECONOMICO!AE26</f>
        <v>0</v>
      </c>
      <c r="K26" s="258">
        <f t="shared" si="2"/>
        <v>1737790.5042700376</v>
      </c>
    </row>
    <row r="27" spans="1:11" x14ac:dyDescent="0.2">
      <c r="A27" s="78"/>
      <c r="B27" s="79" t="s">
        <v>30</v>
      </c>
      <c r="C27" s="10" t="s">
        <v>193</v>
      </c>
      <c r="D27" s="9">
        <f>C.ECONOMICO!D27-C.ECONOMICO!K27-C.ECONOMICO!N27-C.ECONOMICO!Q27-C.ECONOMICO!T27-C.ECONOMICO!W27-C.ECONOMICO!Z27</f>
        <v>0</v>
      </c>
      <c r="E27" s="9">
        <f>C.ECONOMICO!E27-C.ECONOMICO!L27-C.ECONOMICO!M27</f>
        <v>0</v>
      </c>
      <c r="F27" s="9">
        <f>C.ECONOMICO!F27-C.ECONOMICO!O27-C.ECONOMICO!P27</f>
        <v>0</v>
      </c>
      <c r="G27" s="9">
        <f>C.ECONOMICO!G27-C.ECONOMICO!R27-C.ECONOMICO!S27-C.ECONOMICO!AD27-C.ECONOMICO!AH27-C.ECONOMICO!AF27</f>
        <v>0</v>
      </c>
      <c r="H27" s="9">
        <f>C.ECONOMICO!H27-C.ECONOMICO!U27-C.ECONOMICO!V27-C.ECONOMICO!AG27</f>
        <v>0</v>
      </c>
      <c r="I27" s="9">
        <f>C.ECONOMICO!I27-C.ECONOMICO!X27-C.ECONOMICO!Y27-C.ECONOMICO!AC27</f>
        <v>0</v>
      </c>
      <c r="J27" s="9">
        <f>C.ECONOMICO!J27-C.ECONOMICO!AA27-C.ECONOMICO!AB27-C.ECONOMICO!AE27</f>
        <v>0</v>
      </c>
      <c r="K27" s="258">
        <f t="shared" si="2"/>
        <v>0</v>
      </c>
    </row>
    <row r="28" spans="1:11" x14ac:dyDescent="0.2">
      <c r="A28" s="78"/>
      <c r="B28" s="79" t="s">
        <v>31</v>
      </c>
      <c r="C28" s="10" t="s">
        <v>117</v>
      </c>
      <c r="D28" s="9">
        <f>C.ECONOMICO!D28-C.ECONOMICO!K28-C.ECONOMICO!N28-C.ECONOMICO!Q28-C.ECONOMICO!T28-C.ECONOMICO!W28-C.ECONOMICO!Z28</f>
        <v>100000</v>
      </c>
      <c r="E28" s="9">
        <f>C.ECONOMICO!E28-C.ECONOMICO!L28-C.ECONOMICO!M28</f>
        <v>0</v>
      </c>
      <c r="F28" s="9">
        <f>C.ECONOMICO!F28-C.ECONOMICO!O28-C.ECONOMICO!P28</f>
        <v>0</v>
      </c>
      <c r="G28" s="9">
        <f>C.ECONOMICO!G28-C.ECONOMICO!R28-C.ECONOMICO!S28-C.ECONOMICO!AD28-C.ECONOMICO!AH28-C.ECONOMICO!AF28</f>
        <v>0</v>
      </c>
      <c r="H28" s="9">
        <f>C.ECONOMICO!H28-C.ECONOMICO!U28-C.ECONOMICO!V28-C.ECONOMICO!AG28</f>
        <v>459.15000000037253</v>
      </c>
      <c r="I28" s="9">
        <f>C.ECONOMICO!I28-C.ECONOMICO!X28-C.ECONOMICO!Y28-C.ECONOMICO!AC28</f>
        <v>0</v>
      </c>
      <c r="J28" s="9">
        <f>C.ECONOMICO!J28-C.ECONOMICO!AA28-C.ECONOMICO!AB28-C.ECONOMICO!AE28</f>
        <v>0</v>
      </c>
      <c r="K28" s="258">
        <f t="shared" si="2"/>
        <v>100459.15000000037</v>
      </c>
    </row>
    <row r="29" spans="1:11" x14ac:dyDescent="0.2">
      <c r="A29" s="78">
        <v>13</v>
      </c>
      <c r="B29" s="79"/>
      <c r="C29" s="4" t="s">
        <v>34</v>
      </c>
      <c r="D29" s="9">
        <f>C.ECONOMICO!D29-C.ECONOMICO!K29-C.ECONOMICO!N29-C.ECONOMICO!Q29-C.ECONOMICO!T29-C.ECONOMICO!W29-C.ECONOMICO!Z29</f>
        <v>1369220.05</v>
      </c>
      <c r="E29" s="9">
        <f>C.ECONOMICO!E29-C.ECONOMICO!L29-C.ECONOMICO!M29</f>
        <v>0</v>
      </c>
      <c r="F29" s="9">
        <f>C.ECONOMICO!F29-C.ECONOMICO!O29-C.ECONOMICO!P29</f>
        <v>58927.880000002682</v>
      </c>
      <c r="G29" s="9">
        <f>C.ECONOMICO!G29-C.ECONOMICO!R29-C.ECONOMICO!S29-C.ECONOMICO!AD29-C.ECONOMICO!AH29-C.ECONOMICO!AF29</f>
        <v>152941.45000000019</v>
      </c>
      <c r="H29" s="9">
        <f>C.ECONOMICO!H29-C.ECONOMICO!U29-C.ECONOMICO!V29-C.ECONOMICO!AG29</f>
        <v>26.489999999990687</v>
      </c>
      <c r="I29" s="9">
        <f>C.ECONOMICO!I29-C.ECONOMICO!X29-C.ECONOMICO!Y29-C.ECONOMICO!AC29</f>
        <v>665569.84999999963</v>
      </c>
      <c r="J29" s="9">
        <f>C.ECONOMICO!J29-C.ECONOMICO!AA29-C.ECONOMICO!AB29-C.ECONOMICO!AE29</f>
        <v>0</v>
      </c>
      <c r="K29" s="258">
        <f t="shared" si="2"/>
        <v>2246685.7200000025</v>
      </c>
    </row>
    <row r="30" spans="1:11" x14ac:dyDescent="0.2">
      <c r="A30" s="78">
        <v>14</v>
      </c>
      <c r="B30" s="79"/>
      <c r="C30" s="4" t="s">
        <v>35</v>
      </c>
      <c r="D30" s="9">
        <f>C.ECONOMICO!D30-C.ECONOMICO!K30-C.ECONOMICO!N30-C.ECONOMICO!Q30-C.ECONOMICO!T30-C.ECONOMICO!W30-C.ECONOMICO!Z30</f>
        <v>1647863.57</v>
      </c>
      <c r="E30" s="9">
        <f>C.ECONOMICO!E30-C.ECONOMICO!L30-C.ECONOMICO!M30</f>
        <v>0</v>
      </c>
      <c r="F30" s="9">
        <f>C.ECONOMICO!F30-C.ECONOMICO!O30-C.ECONOMICO!P30</f>
        <v>79224.020000010729</v>
      </c>
      <c r="G30" s="9">
        <f>C.ECONOMICO!G30-C.ECONOMICO!R30-C.ECONOMICO!S30-C.ECONOMICO!AD30-C.ECONOMICO!AH30-C.ECONOMICO!AF30</f>
        <v>372723.60000000056</v>
      </c>
      <c r="H30" s="9">
        <f>C.ECONOMICO!H30-C.ECONOMICO!U30-C.ECONOMICO!V30-C.ECONOMICO!AG30</f>
        <v>0.36999999999898137</v>
      </c>
      <c r="I30" s="9">
        <f>C.ECONOMICO!I30-C.ECONOMICO!X30-C.ECONOMICO!Y30-C.ECONOMICO!AC30</f>
        <v>24624.349999999977</v>
      </c>
      <c r="J30" s="9">
        <f>C.ECONOMICO!J30-C.ECONOMICO!AA30-C.ECONOMICO!AB30-C.ECONOMICO!AE30</f>
        <v>0</v>
      </c>
      <c r="K30" s="258">
        <f t="shared" si="2"/>
        <v>2124435.9100000118</v>
      </c>
    </row>
    <row r="31" spans="1:11" x14ac:dyDescent="0.2">
      <c r="A31" s="78" t="s">
        <v>0</v>
      </c>
      <c r="B31" s="79" t="s">
        <v>29</v>
      </c>
      <c r="C31" s="10" t="s">
        <v>129</v>
      </c>
      <c r="D31" s="9">
        <f>C.ECONOMICO!D31-C.ECONOMICO!K31-C.ECONOMICO!N31-C.ECONOMICO!Q31-C.ECONOMICO!T31-C.ECONOMICO!W31-C.ECONOMICO!Z31</f>
        <v>159507.85</v>
      </c>
      <c r="E31" s="9">
        <f>C.ECONOMICO!E31-C.ECONOMICO!L31-C.ECONOMICO!M31</f>
        <v>0</v>
      </c>
      <c r="F31" s="9">
        <f>C.ECONOMICO!F31-C.ECONOMICO!O31-C.ECONOMICO!P31</f>
        <v>13849.810000000522</v>
      </c>
      <c r="G31" s="9">
        <f>C.ECONOMICO!G31-C.ECONOMICO!R31-C.ECONOMICO!S31-C.ECONOMICO!AD31-C.ECONOMICO!AH31-C.ECONOMICO!AF31</f>
        <v>982.25</v>
      </c>
      <c r="H31" s="9">
        <f>C.ECONOMICO!H31-C.ECONOMICO!U31-C.ECONOMICO!V31-C.ECONOMICO!AG31</f>
        <v>3.999999999996362E-2</v>
      </c>
      <c r="I31" s="9">
        <f>C.ECONOMICO!I31-C.ECONOMICO!X31-C.ECONOMICO!Y31-C.ECONOMICO!AC31</f>
        <v>16165.049999999988</v>
      </c>
      <c r="J31" s="9">
        <f>C.ECONOMICO!J31-C.ECONOMICO!AA31-C.ECONOMICO!AB31-C.ECONOMICO!AE31</f>
        <v>0</v>
      </c>
      <c r="K31" s="258">
        <f t="shared" si="2"/>
        <v>190505.00000000052</v>
      </c>
    </row>
    <row r="32" spans="1:11" x14ac:dyDescent="0.2">
      <c r="A32" s="78"/>
      <c r="B32" s="79" t="s">
        <v>30</v>
      </c>
      <c r="C32" s="10" t="s">
        <v>128</v>
      </c>
      <c r="D32" s="9">
        <f>C.ECONOMICO!D32-C.ECONOMICO!K32-C.ECONOMICO!N32-C.ECONOMICO!Q32-C.ECONOMICO!T32-C.ECONOMICO!W32-C.ECONOMICO!Z32</f>
        <v>1293890.81</v>
      </c>
      <c r="E32" s="9">
        <f>C.ECONOMICO!E32-C.ECONOMICO!L32-C.ECONOMICO!M32</f>
        <v>0</v>
      </c>
      <c r="F32" s="9">
        <f>C.ECONOMICO!F32-C.ECONOMICO!O32-C.ECONOMICO!P32</f>
        <v>2289.5800000000745</v>
      </c>
      <c r="G32" s="9">
        <f>C.ECONOMICO!G32-C.ECONOMICO!R32-C.ECONOMICO!S32-C.ECONOMICO!AD32-C.ECONOMICO!AH32-C.ECONOMICO!AF32</f>
        <v>371009.15000000037</v>
      </c>
      <c r="H32" s="9">
        <f>C.ECONOMICO!H32-C.ECONOMICO!U32-C.ECONOMICO!V32-C.ECONOMICO!AG32</f>
        <v>0.32999999999992724</v>
      </c>
      <c r="I32" s="9">
        <f>C.ECONOMICO!I32-C.ECONOMICO!X32-C.ECONOMICO!Y32-C.ECONOMICO!AC32</f>
        <v>8459.2999999999884</v>
      </c>
      <c r="J32" s="9">
        <f>C.ECONOMICO!J32-C.ECONOMICO!AA32-C.ECONOMICO!AB32-C.ECONOMICO!AE32</f>
        <v>0</v>
      </c>
      <c r="K32" s="258">
        <f t="shared" si="2"/>
        <v>1675649.1700000006</v>
      </c>
    </row>
    <row r="33" spans="1:11" x14ac:dyDescent="0.2">
      <c r="A33" s="78"/>
      <c r="B33" s="79" t="s">
        <v>31</v>
      </c>
      <c r="C33" s="10" t="s">
        <v>36</v>
      </c>
      <c r="D33" s="9">
        <f>C.ECONOMICO!D33-C.ECONOMICO!K33-C.ECONOMICO!N33-C.ECONOMICO!Q33-C.ECONOMICO!T33-C.ECONOMICO!W33-C.ECONOMICO!Z33</f>
        <v>0</v>
      </c>
      <c r="E33" s="9">
        <f>C.ECONOMICO!E33-C.ECONOMICO!L33-C.ECONOMICO!M33</f>
        <v>0</v>
      </c>
      <c r="F33" s="9">
        <f>C.ECONOMICO!F33-C.ECONOMICO!O33-C.ECONOMICO!P33</f>
        <v>0</v>
      </c>
      <c r="G33" s="9">
        <f>C.ECONOMICO!G33-C.ECONOMICO!R33-C.ECONOMICO!S33-C.ECONOMICO!AD33-C.ECONOMICO!AH33-C.ECONOMICO!AF33</f>
        <v>0</v>
      </c>
      <c r="H33" s="9">
        <f>C.ECONOMICO!H33-C.ECONOMICO!U33-C.ECONOMICO!V33-C.ECONOMICO!AG33</f>
        <v>0</v>
      </c>
      <c r="I33" s="9">
        <f>C.ECONOMICO!I33-C.ECONOMICO!X33-C.ECONOMICO!Y33-C.ECONOMICO!AC33</f>
        <v>0</v>
      </c>
      <c r="J33" s="9">
        <f>C.ECONOMICO!J33-C.ECONOMICO!AA33-C.ECONOMICO!AB33-C.ECONOMICO!AE33</f>
        <v>0</v>
      </c>
      <c r="K33" s="258">
        <f t="shared" si="2"/>
        <v>0</v>
      </c>
    </row>
    <row r="34" spans="1:11" x14ac:dyDescent="0.2">
      <c r="A34" s="78"/>
      <c r="B34" s="79" t="s">
        <v>32</v>
      </c>
      <c r="C34" s="10" t="s">
        <v>7</v>
      </c>
      <c r="D34" s="9">
        <f>C.ECONOMICO!D34-C.ECONOMICO!K34-C.ECONOMICO!N34-C.ECONOMICO!Q34-C.ECONOMICO!T34-C.ECONOMICO!W34-C.ECONOMICO!Z34</f>
        <v>194464.91</v>
      </c>
      <c r="E34" s="9">
        <f>C.ECONOMICO!E34-C.ECONOMICO!L34-C.ECONOMICO!M34</f>
        <v>0</v>
      </c>
      <c r="F34" s="9">
        <f>C.ECONOMICO!F34-C.ECONOMICO!O34-C.ECONOMICO!P34</f>
        <v>63084.630000002682</v>
      </c>
      <c r="G34" s="9">
        <f>C.ECONOMICO!G34-C.ECONOMICO!R34-C.ECONOMICO!S34-C.ECONOMICO!AD34-C.ECONOMICO!AH34-C.ECONOMICO!AF34</f>
        <v>732.20000000000073</v>
      </c>
      <c r="H34" s="9">
        <f>C.ECONOMICO!H34-C.ECONOMICO!U34-C.ECONOMICO!V34-C.ECONOMICO!AG34</f>
        <v>0</v>
      </c>
      <c r="I34" s="9">
        <f>C.ECONOMICO!I34-C.ECONOMICO!X34-C.ECONOMICO!Y34-C.ECONOMICO!AC34</f>
        <v>0</v>
      </c>
      <c r="J34" s="9">
        <f>C.ECONOMICO!J34-C.ECONOMICO!AA34-C.ECONOMICO!AB34-C.ECONOMICO!AE34</f>
        <v>0</v>
      </c>
      <c r="K34" s="258">
        <f t="shared" si="2"/>
        <v>258281.7400000027</v>
      </c>
    </row>
    <row r="35" spans="1:11" x14ac:dyDescent="0.2">
      <c r="A35" s="78">
        <v>15</v>
      </c>
      <c r="B35" s="79"/>
      <c r="C35" s="18" t="s">
        <v>8</v>
      </c>
      <c r="D35" s="9">
        <f>C.ECONOMICO!D35-C.ECONOMICO!K35-C.ECONOMICO!N35-C.ECONOMICO!Q35-C.ECONOMICO!T35-C.ECONOMICO!W35-C.ECONOMICO!Z35</f>
        <v>0</v>
      </c>
      <c r="E35" s="9">
        <f>C.ECONOMICO!E35-C.ECONOMICO!L35-C.ECONOMICO!M35</f>
        <v>0</v>
      </c>
      <c r="F35" s="9">
        <f>C.ECONOMICO!F35-C.ECONOMICO!O35-C.ECONOMICO!P35</f>
        <v>-930.38000000000466</v>
      </c>
      <c r="G35" s="9">
        <f>C.ECONOMICO!G35-C.ECONOMICO!R35-C.ECONOMICO!S35-C.ECONOMICO!AD35-C.ECONOMICO!AH35-C.ECONOMICO!AF35</f>
        <v>-1533.0499999999993</v>
      </c>
      <c r="H35" s="9">
        <f>C.ECONOMICO!H35-C.ECONOMICO!U35-C.ECONOMICO!V35-C.ECONOMICO!AG35</f>
        <v>5.0000000000181899E-2</v>
      </c>
      <c r="I35" s="9">
        <f>C.ECONOMICO!I35-C.ECONOMICO!X35-C.ECONOMICO!Y35-C.ECONOMICO!AC35</f>
        <v>-22847.299999999988</v>
      </c>
      <c r="J35" s="9">
        <f>C.ECONOMICO!J35-C.ECONOMICO!AA35-C.ECONOMICO!AB35-C.ECONOMICO!AE35</f>
        <v>0</v>
      </c>
      <c r="K35" s="258">
        <f t="shared" si="2"/>
        <v>-25310.679999999993</v>
      </c>
    </row>
    <row r="36" spans="1:11" x14ac:dyDescent="0.2">
      <c r="A36" s="78">
        <v>16</v>
      </c>
      <c r="B36" s="79"/>
      <c r="C36" s="18" t="s">
        <v>130</v>
      </c>
      <c r="D36" s="9">
        <f>C.ECONOMICO!D36-C.ECONOMICO!K36-C.ECONOMICO!N36-C.ECONOMICO!Q36-C.ECONOMICO!T36-C.ECONOMICO!W36-C.ECONOMICO!Z36</f>
        <v>0</v>
      </c>
      <c r="E36" s="9">
        <f>C.ECONOMICO!E36-C.ECONOMICO!L36-C.ECONOMICO!M36</f>
        <v>0</v>
      </c>
      <c r="F36" s="9">
        <f>C.ECONOMICO!F36-C.ECONOMICO!O36-C.ECONOMICO!P36</f>
        <v>20278.329999998212</v>
      </c>
      <c r="G36" s="9">
        <f>C.ECONOMICO!G36-C.ECONOMICO!R36-C.ECONOMICO!S36-C.ECONOMICO!AD36-C.ECONOMICO!AH36-C.ECONOMICO!AF36</f>
        <v>8904.3500000000058</v>
      </c>
      <c r="H36" s="9">
        <f>C.ECONOMICO!H36-C.ECONOMICO!U36-C.ECONOMICO!V36-C.ECONOMICO!AG36</f>
        <v>0</v>
      </c>
      <c r="I36" s="9">
        <f>C.ECONOMICO!I36-C.ECONOMICO!X36-C.ECONOMICO!Y36-C.ECONOMICO!AC36</f>
        <v>93575.25</v>
      </c>
      <c r="J36" s="9">
        <f>C.ECONOMICO!J36-C.ECONOMICO!AA36-C.ECONOMICO!AB36-C.ECONOMICO!AE36</f>
        <v>0</v>
      </c>
      <c r="K36" s="258">
        <f t="shared" si="2"/>
        <v>122757.92999999822</v>
      </c>
    </row>
    <row r="37" spans="1:11" x14ac:dyDescent="0.2">
      <c r="A37" s="78">
        <v>17</v>
      </c>
      <c r="B37" s="79"/>
      <c r="C37" s="18" t="s">
        <v>37</v>
      </c>
      <c r="D37" s="9">
        <f>C.ECONOMICO!D37-C.ECONOMICO!K37-C.ECONOMICO!N37-C.ECONOMICO!Q37-C.ECONOMICO!T37-C.ECONOMICO!W37-C.ECONOMICO!Z37</f>
        <v>0</v>
      </c>
      <c r="E37" s="9">
        <f>C.ECONOMICO!E37-C.ECONOMICO!L37-C.ECONOMICO!M37</f>
        <v>0</v>
      </c>
      <c r="F37" s="9">
        <f>C.ECONOMICO!F37-C.ECONOMICO!O37-C.ECONOMICO!P37</f>
        <v>959.04000000003725</v>
      </c>
      <c r="G37" s="9">
        <f>C.ECONOMICO!G37-C.ECONOMICO!R37-C.ECONOMICO!S37-C.ECONOMICO!AD37-C.ECONOMICO!AH37-C.ECONOMICO!AF37</f>
        <v>0</v>
      </c>
      <c r="H37" s="9">
        <f>C.ECONOMICO!H37-C.ECONOMICO!U37-C.ECONOMICO!V37-C.ECONOMICO!AG37</f>
        <v>0</v>
      </c>
      <c r="I37" s="9">
        <f>C.ECONOMICO!I37-C.ECONOMICO!X37-C.ECONOMICO!Y37-C.ECONOMICO!AC37</f>
        <v>0</v>
      </c>
      <c r="J37" s="9">
        <f>C.ECONOMICO!J37-C.ECONOMICO!AA37-C.ECONOMICO!AB37-C.ECONOMICO!AE37</f>
        <v>0</v>
      </c>
      <c r="K37" s="258">
        <f t="shared" si="2"/>
        <v>959.04000000003725</v>
      </c>
    </row>
    <row r="38" spans="1:11" ht="13.5" thickBot="1" x14ac:dyDescent="0.25">
      <c r="A38" s="78">
        <v>18</v>
      </c>
      <c r="B38" s="79"/>
      <c r="C38" s="18" t="s">
        <v>9</v>
      </c>
      <c r="D38" s="9">
        <f>C.ECONOMICO!D38-C.ECONOMICO!K38-C.ECONOMICO!N38-C.ECONOMICO!Q38-C.ECONOMICO!T38-C.ECONOMICO!W38-C.ECONOMICO!Z38</f>
        <v>1399744.1794999999</v>
      </c>
      <c r="E38" s="9">
        <f>C.ECONOMICO!E38-C.ECONOMICO!L38-C.ECONOMICO!M38</f>
        <v>0</v>
      </c>
      <c r="F38" s="9">
        <f>C.ECONOMICO!F38-C.ECONOMICO!O38-C.ECONOMICO!P38</f>
        <v>2968.089999999851</v>
      </c>
      <c r="G38" s="9">
        <f>C.ECONOMICO!G38-C.ECONOMICO!R38-C.ECONOMICO!S38-C.ECONOMICO!AD38-C.ECONOMICO!AH38-C.ECONOMICO!AF38</f>
        <v>332441.20000000019</v>
      </c>
      <c r="H38" s="9">
        <f>C.ECONOMICO!H38-C.ECONOMICO!U38-C.ECONOMICO!V38-C.ECONOMICO!AG38</f>
        <v>2.0100000000020373</v>
      </c>
      <c r="I38" s="9">
        <f>C.ECONOMICO!I38-C.ECONOMICO!X38-C.ECONOMICO!Y38-C.ECONOMICO!AC38</f>
        <v>55007.099999999977</v>
      </c>
      <c r="J38" s="9">
        <f>C.ECONOMICO!J38-C.ECONOMICO!AA38-C.ECONOMICO!AB38-C.ECONOMICO!AE38</f>
        <v>0</v>
      </c>
      <c r="K38" s="258">
        <f t="shared" si="2"/>
        <v>1790162.5795</v>
      </c>
    </row>
    <row r="39" spans="1:11" ht="13.5" thickBot="1" x14ac:dyDescent="0.25">
      <c r="A39" s="78"/>
      <c r="B39" s="79"/>
      <c r="C39" s="13" t="s">
        <v>190</v>
      </c>
      <c r="D39" s="14">
        <f>D22+D23+D24+D25+D29+D30+D35+D36+D37+D38</f>
        <v>9679102.1961766724</v>
      </c>
      <c r="E39" s="14">
        <f t="shared" ref="E39:K39" si="3">E22+E23+E24+E25+E29+E30+E35+E36+E37+E38</f>
        <v>0</v>
      </c>
      <c r="F39" s="14">
        <f t="shared" si="3"/>
        <v>289516.93000001542</v>
      </c>
      <c r="G39" s="14">
        <f t="shared" si="3"/>
        <v>981644.20000000077</v>
      </c>
      <c r="H39" s="14">
        <f t="shared" si="3"/>
        <v>510.8700000003455</v>
      </c>
      <c r="I39" s="14">
        <f t="shared" si="3"/>
        <v>2429490.7000000002</v>
      </c>
      <c r="J39" s="14">
        <f t="shared" si="3"/>
        <v>0</v>
      </c>
      <c r="K39" s="259">
        <f t="shared" si="3"/>
        <v>13380264.896176688</v>
      </c>
    </row>
    <row r="40" spans="1:11" ht="13.5" thickBot="1" x14ac:dyDescent="0.25">
      <c r="A40" s="78"/>
      <c r="B40" s="79"/>
      <c r="C40" s="19" t="s">
        <v>53</v>
      </c>
      <c r="D40" s="256">
        <f>D19-D39</f>
        <v>2295795.1838233285</v>
      </c>
      <c r="E40" s="20">
        <f t="shared" ref="E40:K40" si="4">E19-E39</f>
        <v>0</v>
      </c>
      <c r="F40" s="20">
        <f t="shared" si="4"/>
        <v>9993.6694066376658</v>
      </c>
      <c r="G40" s="20">
        <f t="shared" si="4"/>
        <v>39995.79999999993</v>
      </c>
      <c r="H40" s="20">
        <f t="shared" si="4"/>
        <v>30.954270036613707</v>
      </c>
      <c r="I40" s="20">
        <f t="shared" si="4"/>
        <v>-7025.6775000016205</v>
      </c>
      <c r="J40" s="20">
        <f t="shared" si="4"/>
        <v>0</v>
      </c>
      <c r="K40" s="261">
        <f t="shared" si="4"/>
        <v>2338789.9300000016</v>
      </c>
    </row>
    <row r="41" spans="1:11" x14ac:dyDescent="0.2">
      <c r="A41" s="78"/>
      <c r="B41" s="79"/>
      <c r="C41" s="19"/>
      <c r="D41" s="16"/>
      <c r="E41" s="16"/>
      <c r="F41" s="16"/>
      <c r="G41" s="16"/>
      <c r="H41" s="16"/>
      <c r="I41" s="16"/>
      <c r="J41" s="16"/>
      <c r="K41" s="260"/>
    </row>
    <row r="42" spans="1:11" x14ac:dyDescent="0.2">
      <c r="A42" s="78"/>
      <c r="B42" s="79"/>
      <c r="C42" s="6" t="s">
        <v>10</v>
      </c>
      <c r="D42" s="16"/>
      <c r="E42" s="16"/>
      <c r="F42" s="16"/>
      <c r="G42" s="16"/>
      <c r="H42" s="16"/>
      <c r="I42" s="16"/>
      <c r="J42" s="16"/>
      <c r="K42" s="260"/>
    </row>
    <row r="43" spans="1:11" x14ac:dyDescent="0.2">
      <c r="A43" s="78"/>
      <c r="B43" s="79"/>
      <c r="C43" s="22" t="s">
        <v>119</v>
      </c>
      <c r="D43" s="16"/>
      <c r="E43" s="16"/>
      <c r="F43" s="16"/>
      <c r="G43" s="16"/>
      <c r="H43" s="16"/>
      <c r="I43" s="16"/>
      <c r="J43" s="16"/>
      <c r="K43" s="260"/>
    </row>
    <row r="44" spans="1:11" x14ac:dyDescent="0.2">
      <c r="A44" s="78">
        <v>19</v>
      </c>
      <c r="B44" s="79"/>
      <c r="C44" s="4" t="s">
        <v>11</v>
      </c>
      <c r="D44" s="9">
        <f>C.ECONOMICO!D44-C.ECONOMICO!K44-C.ECONOMICO!N44-C.ECONOMICO!Q44-C.ECONOMICO!T44-C.ECONOMICO!W44-C.ECONOMICO!Z44</f>
        <v>0</v>
      </c>
      <c r="E44" s="9">
        <f>C.ECONOMICO!E44-C.ECONOMICO!L44-C.ECONOMICO!M44</f>
        <v>0</v>
      </c>
      <c r="F44" s="9">
        <f>C.ECONOMICO!F44-C.ECONOMICO!O44-C.ECONOMICO!P44</f>
        <v>0</v>
      </c>
      <c r="G44" s="9">
        <f>C.ECONOMICO!G44-C.ECONOMICO!R44-C.ECONOMICO!S44-C.ECONOMICO!AD44-C.ECONOMICO!AH44-C.ECONOMICO!AF44</f>
        <v>0</v>
      </c>
      <c r="H44" s="9">
        <f>C.ECONOMICO!H44-C.ECONOMICO!U44-C.ECONOMICO!V44-C.ECONOMICO!AG44</f>
        <v>0</v>
      </c>
      <c r="I44" s="9">
        <f>C.ECONOMICO!I44-C.ECONOMICO!X44-C.ECONOMICO!Y44-C.ECONOMICO!AC44</f>
        <v>0</v>
      </c>
      <c r="J44" s="9">
        <f>C.ECONOMICO!J44-C.ECONOMICO!AA44-C.ECONOMICO!AB44-C.ECONOMICO!AE44</f>
        <v>0</v>
      </c>
      <c r="K44" s="258">
        <f t="shared" ref="K44:K48" si="5">SUM(D44:J44)</f>
        <v>0</v>
      </c>
    </row>
    <row r="45" spans="1:11" x14ac:dyDescent="0.2">
      <c r="A45" s="78"/>
      <c r="B45" s="79" t="s">
        <v>29</v>
      </c>
      <c r="C45" s="10" t="s">
        <v>153</v>
      </c>
      <c r="D45" s="9">
        <f>C.ECONOMICO!D45-C.ECONOMICO!K45-C.ECONOMICO!N45-C.ECONOMICO!Q45-C.ECONOMICO!T45-C.ECONOMICO!W45-C.ECONOMICO!Z45</f>
        <v>0</v>
      </c>
      <c r="E45" s="9">
        <f>C.ECONOMICO!E45-C.ECONOMICO!L45-C.ECONOMICO!M45</f>
        <v>0</v>
      </c>
      <c r="F45" s="9">
        <f>C.ECONOMICO!F45-C.ECONOMICO!O45-C.ECONOMICO!P45</f>
        <v>0</v>
      </c>
      <c r="G45" s="9">
        <f>C.ECONOMICO!G45-C.ECONOMICO!R45-C.ECONOMICO!S45-C.ECONOMICO!AD45-C.ECONOMICO!AH45-C.ECONOMICO!AF45</f>
        <v>0</v>
      </c>
      <c r="H45" s="9">
        <f>C.ECONOMICO!H45-C.ECONOMICO!U45-C.ECONOMICO!V45-C.ECONOMICO!AG45</f>
        <v>0</v>
      </c>
      <c r="I45" s="9">
        <f>C.ECONOMICO!I45-C.ECONOMICO!X45-C.ECONOMICO!Y45-C.ECONOMICO!AC45</f>
        <v>0</v>
      </c>
      <c r="J45" s="9">
        <f>C.ECONOMICO!J45-C.ECONOMICO!AA45-C.ECONOMICO!AB45-C.ECONOMICO!AE45</f>
        <v>0</v>
      </c>
      <c r="K45" s="258">
        <f t="shared" si="5"/>
        <v>0</v>
      </c>
    </row>
    <row r="46" spans="1:11" x14ac:dyDescent="0.2">
      <c r="A46" s="78"/>
      <c r="B46" s="79" t="s">
        <v>30</v>
      </c>
      <c r="C46" s="10" t="s">
        <v>103</v>
      </c>
      <c r="D46" s="9">
        <f>C.ECONOMICO!D46-C.ECONOMICO!K46-C.ECONOMICO!N46-C.ECONOMICO!Q46-C.ECONOMICO!T46-C.ECONOMICO!W46-C.ECONOMICO!Z46</f>
        <v>0</v>
      </c>
      <c r="E46" s="9">
        <f>C.ECONOMICO!E46-C.ECONOMICO!L46-C.ECONOMICO!M46</f>
        <v>0</v>
      </c>
      <c r="F46" s="9">
        <f>C.ECONOMICO!F46-C.ECONOMICO!O46-C.ECONOMICO!P46</f>
        <v>0</v>
      </c>
      <c r="G46" s="9">
        <f>C.ECONOMICO!G46-C.ECONOMICO!R46-C.ECONOMICO!S46-C.ECONOMICO!AD46-C.ECONOMICO!AH46-C.ECONOMICO!AF46</f>
        <v>0</v>
      </c>
      <c r="H46" s="9">
        <f>C.ECONOMICO!H46-C.ECONOMICO!U46-C.ECONOMICO!V46-C.ECONOMICO!AG46</f>
        <v>0</v>
      </c>
      <c r="I46" s="9">
        <f>C.ECONOMICO!I46-C.ECONOMICO!X46-C.ECONOMICO!Y46-C.ECONOMICO!AC46</f>
        <v>0</v>
      </c>
      <c r="J46" s="9">
        <f>C.ECONOMICO!J46-C.ECONOMICO!AA46-C.ECONOMICO!AB46-C.ECONOMICO!AE46</f>
        <v>0</v>
      </c>
      <c r="K46" s="258">
        <f t="shared" si="5"/>
        <v>0</v>
      </c>
    </row>
    <row r="47" spans="1:11" x14ac:dyDescent="0.2">
      <c r="A47" s="78"/>
      <c r="B47" s="79" t="s">
        <v>31</v>
      </c>
      <c r="C47" s="10" t="s">
        <v>102</v>
      </c>
      <c r="D47" s="9">
        <f>C.ECONOMICO!D47-C.ECONOMICO!K47-C.ECONOMICO!N47-C.ECONOMICO!Q47-C.ECONOMICO!T47-C.ECONOMICO!W47-C.ECONOMICO!Z47</f>
        <v>0</v>
      </c>
      <c r="E47" s="9">
        <f>C.ECONOMICO!E47-C.ECONOMICO!L47-C.ECONOMICO!M47</f>
        <v>0</v>
      </c>
      <c r="F47" s="9">
        <f>C.ECONOMICO!F47-C.ECONOMICO!O47-C.ECONOMICO!P47</f>
        <v>0</v>
      </c>
      <c r="G47" s="9">
        <f>C.ECONOMICO!G47-C.ECONOMICO!R47-C.ECONOMICO!S47-C.ECONOMICO!AD47-C.ECONOMICO!AH47-C.ECONOMICO!AF47</f>
        <v>17201.700000000012</v>
      </c>
      <c r="H47" s="9">
        <f>C.ECONOMICO!H47-C.ECONOMICO!U47-C.ECONOMICO!V47-C.ECONOMICO!AG47</f>
        <v>0</v>
      </c>
      <c r="I47" s="9">
        <f>C.ECONOMICO!I47-C.ECONOMICO!X47-C.ECONOMICO!Y47-C.ECONOMICO!AC47</f>
        <v>0</v>
      </c>
      <c r="J47" s="9">
        <f>C.ECONOMICO!J47-C.ECONOMICO!AA47-C.ECONOMICO!AB47-C.ECONOMICO!AE47</f>
        <v>0</v>
      </c>
      <c r="K47" s="258">
        <f t="shared" si="5"/>
        <v>17201.700000000012</v>
      </c>
    </row>
    <row r="48" spans="1:11" x14ac:dyDescent="0.2">
      <c r="A48" s="78">
        <v>20</v>
      </c>
      <c r="B48" s="79"/>
      <c r="C48" s="4" t="s">
        <v>12</v>
      </c>
      <c r="D48" s="9">
        <f>C.ECONOMICO!D48-C.ECONOMICO!K48-C.ECONOMICO!N48-C.ECONOMICO!Q48-C.ECONOMICO!T48-C.ECONOMICO!W48-C.ECONOMICO!Z48</f>
        <v>852.54</v>
      </c>
      <c r="E48" s="9">
        <f>C.ECONOMICO!E48-C.ECONOMICO!L48-C.ECONOMICO!M48</f>
        <v>0</v>
      </c>
      <c r="F48" s="9">
        <f>C.ECONOMICO!F48-C.ECONOMICO!O48-C.ECONOMICO!P48</f>
        <v>3738.0499999998137</v>
      </c>
      <c r="G48" s="9">
        <f>C.ECONOMICO!G48-C.ECONOMICO!R48-C.ECONOMICO!S48-C.ECONOMICO!AD48-C.ECONOMICO!AH48-C.ECONOMICO!AF48</f>
        <v>0</v>
      </c>
      <c r="H48" s="9">
        <f>C.ECONOMICO!H48-C.ECONOMICO!U48-C.ECONOMICO!V48-C.ECONOMICO!AG48</f>
        <v>0</v>
      </c>
      <c r="I48" s="9">
        <f>C.ECONOMICO!I48-C.ECONOMICO!X48-C.ECONOMICO!Y48-C.ECONOMICO!AC48</f>
        <v>407.55000000000018</v>
      </c>
      <c r="J48" s="9">
        <f>C.ECONOMICO!J48-C.ECONOMICO!AA48-C.ECONOMICO!AB48-C.ECONOMICO!AE48</f>
        <v>0</v>
      </c>
      <c r="K48" s="258">
        <f t="shared" si="5"/>
        <v>4998.1399999998139</v>
      </c>
    </row>
    <row r="49" spans="1:11" x14ac:dyDescent="0.2">
      <c r="A49" s="78"/>
      <c r="B49" s="79"/>
      <c r="C49" s="13" t="s">
        <v>120</v>
      </c>
      <c r="D49" s="23">
        <f>D45+D46+D47+D48</f>
        <v>852.54</v>
      </c>
      <c r="E49" s="23">
        <f t="shared" ref="E49:K49" si="6">E45+E46+E47+E48</f>
        <v>0</v>
      </c>
      <c r="F49" s="23">
        <f t="shared" si="6"/>
        <v>3738.0499999998137</v>
      </c>
      <c r="G49" s="23">
        <f t="shared" si="6"/>
        <v>17201.700000000012</v>
      </c>
      <c r="H49" s="23">
        <f t="shared" si="6"/>
        <v>0</v>
      </c>
      <c r="I49" s="23">
        <f t="shared" si="6"/>
        <v>407.55000000000018</v>
      </c>
      <c r="J49" s="23">
        <f t="shared" si="6"/>
        <v>0</v>
      </c>
      <c r="K49" s="266">
        <f t="shared" si="6"/>
        <v>22199.839999999826</v>
      </c>
    </row>
    <row r="50" spans="1:11" x14ac:dyDescent="0.2">
      <c r="A50" s="78"/>
      <c r="B50" s="79"/>
      <c r="C50" s="25" t="s">
        <v>121</v>
      </c>
      <c r="D50" s="16"/>
      <c r="E50" s="16"/>
      <c r="F50" s="16"/>
      <c r="G50" s="16"/>
      <c r="H50" s="16"/>
      <c r="I50" s="16"/>
      <c r="J50" s="16"/>
      <c r="K50" s="260"/>
    </row>
    <row r="51" spans="1:11" x14ac:dyDescent="0.2">
      <c r="A51" s="78">
        <v>21</v>
      </c>
      <c r="B51" s="79"/>
      <c r="C51" s="4" t="s">
        <v>13</v>
      </c>
      <c r="D51" s="16"/>
      <c r="E51" s="16"/>
      <c r="F51" s="16"/>
      <c r="G51" s="16"/>
      <c r="H51" s="16"/>
      <c r="I51" s="16"/>
      <c r="J51" s="16"/>
      <c r="K51" s="260"/>
    </row>
    <row r="52" spans="1:11" x14ac:dyDescent="0.2">
      <c r="A52" s="78"/>
      <c r="B52" s="79" t="s">
        <v>29</v>
      </c>
      <c r="C52" s="10" t="s">
        <v>167</v>
      </c>
      <c r="D52" s="9">
        <f>C.ECONOMICO!D52-C.ECONOMICO!K52-C.ECONOMICO!N52-C.ECONOMICO!Q52-C.ECONOMICO!T52-C.ECONOMICO!W52-C.ECONOMICO!Z52</f>
        <v>0</v>
      </c>
      <c r="E52" s="9">
        <f>C.ECONOMICO!E52-C.ECONOMICO!L52-C.ECONOMICO!M52</f>
        <v>0</v>
      </c>
      <c r="F52" s="9">
        <f>C.ECONOMICO!F52-C.ECONOMICO!O52-C.ECONOMICO!P52</f>
        <v>0</v>
      </c>
      <c r="G52" s="9">
        <f>C.ECONOMICO!G52-C.ECONOMICO!R52-C.ECONOMICO!S52-C.ECONOMICO!AD52-C.ECONOMICO!AH52-C.ECONOMICO!AF52</f>
        <v>0</v>
      </c>
      <c r="H52" s="9">
        <f>C.ECONOMICO!H52-C.ECONOMICO!U52-C.ECONOMICO!V52-C.ECONOMICO!AG52</f>
        <v>0</v>
      </c>
      <c r="I52" s="9">
        <f>C.ECONOMICO!I52-C.ECONOMICO!X52-C.ECONOMICO!Y52-C.ECONOMICO!AC52</f>
        <v>0</v>
      </c>
      <c r="J52" s="9">
        <f>C.ECONOMICO!J52-C.ECONOMICO!AA52-C.ECONOMICO!AB52-C.ECONOMICO!AE52</f>
        <v>0</v>
      </c>
      <c r="K52" s="258">
        <f t="shared" ref="K52:K53" si="7">SUM(D52:J52)</f>
        <v>0</v>
      </c>
    </row>
    <row r="53" spans="1:11" x14ac:dyDescent="0.2">
      <c r="A53" s="78"/>
      <c r="B53" s="79" t="s">
        <v>30</v>
      </c>
      <c r="C53" s="10" t="s">
        <v>168</v>
      </c>
      <c r="D53" s="9">
        <f>C.ECONOMICO!D53-C.ECONOMICO!K53-C.ECONOMICO!N53-C.ECONOMICO!Q53-C.ECONOMICO!T53-C.ECONOMICO!W53-C.ECONOMICO!Z53</f>
        <v>0</v>
      </c>
      <c r="E53" s="9">
        <f>C.ECONOMICO!E53-C.ECONOMICO!L53-C.ECONOMICO!M53</f>
        <v>0</v>
      </c>
      <c r="F53" s="9">
        <f>C.ECONOMICO!F53-C.ECONOMICO!O53-C.ECONOMICO!P53</f>
        <v>2583.5</v>
      </c>
      <c r="G53" s="9">
        <f>C.ECONOMICO!G53-C.ECONOMICO!R53-C.ECONOMICO!S53-C.ECONOMICO!AD53-C.ECONOMICO!AH53-C.ECONOMICO!AF53</f>
        <v>0</v>
      </c>
      <c r="H53" s="9">
        <f>C.ECONOMICO!H53-C.ECONOMICO!U53-C.ECONOMICO!V53-C.ECONOMICO!AG53</f>
        <v>0</v>
      </c>
      <c r="I53" s="9">
        <f>C.ECONOMICO!I53-C.ECONOMICO!X53-C.ECONOMICO!Y53-C.ECONOMICO!AC53</f>
        <v>19.350000000000023</v>
      </c>
      <c r="J53" s="9">
        <f>C.ECONOMICO!J53-C.ECONOMICO!AA53-C.ECONOMICO!AB53-C.ECONOMICO!AE53</f>
        <v>0</v>
      </c>
      <c r="K53" s="258">
        <f t="shared" si="7"/>
        <v>2602.85</v>
      </c>
    </row>
    <row r="54" spans="1:11" ht="13.5" thickBot="1" x14ac:dyDescent="0.25">
      <c r="A54" s="78"/>
      <c r="B54" s="79"/>
      <c r="C54" s="13" t="s">
        <v>122</v>
      </c>
      <c r="D54" s="26">
        <f>D52+D53</f>
        <v>0</v>
      </c>
      <c r="E54" s="26">
        <f t="shared" ref="E54:K54" si="8">E52+E53</f>
        <v>0</v>
      </c>
      <c r="F54" s="26">
        <f t="shared" si="8"/>
        <v>2583.5</v>
      </c>
      <c r="G54" s="26">
        <f t="shared" si="8"/>
        <v>0</v>
      </c>
      <c r="H54" s="26">
        <f t="shared" si="8"/>
        <v>0</v>
      </c>
      <c r="I54" s="26">
        <f t="shared" si="8"/>
        <v>19.350000000000023</v>
      </c>
      <c r="J54" s="26">
        <f t="shared" si="8"/>
        <v>0</v>
      </c>
      <c r="K54" s="262">
        <f t="shared" si="8"/>
        <v>2602.85</v>
      </c>
    </row>
    <row r="55" spans="1:11" ht="13.5" thickBot="1" x14ac:dyDescent="0.25">
      <c r="A55" s="78"/>
      <c r="B55" s="79"/>
      <c r="C55" s="13" t="s">
        <v>14</v>
      </c>
      <c r="D55" s="14">
        <f>D49-D54</f>
        <v>852.54</v>
      </c>
      <c r="E55" s="14">
        <f t="shared" ref="E55:K55" si="9">E49-E54</f>
        <v>0</v>
      </c>
      <c r="F55" s="14">
        <f t="shared" si="9"/>
        <v>1154.5499999998137</v>
      </c>
      <c r="G55" s="14">
        <f t="shared" si="9"/>
        <v>17201.700000000012</v>
      </c>
      <c r="H55" s="14">
        <f t="shared" si="9"/>
        <v>0</v>
      </c>
      <c r="I55" s="14">
        <f t="shared" si="9"/>
        <v>388.20000000000016</v>
      </c>
      <c r="J55" s="14">
        <f t="shared" si="9"/>
        <v>0</v>
      </c>
      <c r="K55" s="263">
        <f t="shared" si="9"/>
        <v>19596.989999999827</v>
      </c>
    </row>
    <row r="56" spans="1:11" x14ac:dyDescent="0.2">
      <c r="A56" s="78"/>
      <c r="B56" s="79"/>
      <c r="C56" s="13" t="s">
        <v>15</v>
      </c>
      <c r="D56" s="28"/>
      <c r="E56" s="28"/>
      <c r="F56" s="28"/>
      <c r="G56" s="28"/>
      <c r="H56" s="28"/>
      <c r="I56" s="28"/>
      <c r="J56" s="28"/>
      <c r="K56" s="264"/>
    </row>
    <row r="57" spans="1:11" x14ac:dyDescent="0.2">
      <c r="A57" s="78">
        <v>22</v>
      </c>
      <c r="B57" s="79"/>
      <c r="C57" s="30" t="s">
        <v>16</v>
      </c>
      <c r="D57" s="9">
        <f>C.ECONOMICO!D57-C.ECONOMICO!K57-C.ECONOMICO!N57-C.ECONOMICO!Q57-C.ECONOMICO!T57-C.ECONOMICO!W57-C.ECONOMICO!Z57</f>
        <v>0</v>
      </c>
      <c r="E57" s="9">
        <f>C.ECONOMICO!E57-C.ECONOMICO!L57-C.ECONOMICO!M57</f>
        <v>0</v>
      </c>
      <c r="F57" s="9">
        <f>C.ECONOMICO!F57-C.ECONOMICO!O57-C.ECONOMICO!P57</f>
        <v>87.630000000004657</v>
      </c>
      <c r="G57" s="9">
        <f>C.ECONOMICO!G57-C.ECONOMICO!R57-C.ECONOMICO!S57-C.ECONOMICO!AD57-C.ECONOMICO!AH57-C.ECONOMICO!AF57</f>
        <v>901.20000000000073</v>
      </c>
      <c r="H57" s="9">
        <f>C.ECONOMICO!H57-C.ECONOMICO!U57-C.ECONOMICO!V57-C.ECONOMICO!AG57</f>
        <v>0</v>
      </c>
      <c r="I57" s="9">
        <f>C.ECONOMICO!I57-C.ECONOMICO!X57-C.ECONOMICO!Y57-C.ECONOMICO!AC57</f>
        <v>0</v>
      </c>
      <c r="J57" s="9">
        <f>C.ECONOMICO!J57-C.ECONOMICO!AA57-C.ECONOMICO!AB57-C.ECONOMICO!AE57</f>
        <v>0</v>
      </c>
      <c r="K57" s="258">
        <f t="shared" ref="K57:K58" si="10">SUM(D57:J57)</f>
        <v>988.83000000000538</v>
      </c>
    </row>
    <row r="58" spans="1:11" ht="13.5" thickBot="1" x14ac:dyDescent="0.25">
      <c r="A58" s="78">
        <v>23</v>
      </c>
      <c r="B58" s="79"/>
      <c r="C58" s="30" t="s">
        <v>17</v>
      </c>
      <c r="D58" s="9">
        <f>C.ECONOMICO!D58-C.ECONOMICO!K58-C.ECONOMICO!N58-C.ECONOMICO!Q58-C.ECONOMICO!T58-C.ECONOMICO!W58-C.ECONOMICO!Z58</f>
        <v>0</v>
      </c>
      <c r="E58" s="9">
        <f>C.ECONOMICO!E58-C.ECONOMICO!L58-C.ECONOMICO!M58</f>
        <v>0</v>
      </c>
      <c r="F58" s="9">
        <f>C.ECONOMICO!F58-C.ECONOMICO!O58-C.ECONOMICO!P58</f>
        <v>0</v>
      </c>
      <c r="G58" s="9">
        <f>C.ECONOMICO!G58-C.ECONOMICO!R58-C.ECONOMICO!S58-C.ECONOMICO!AD58-C.ECONOMICO!AH58-C.ECONOMICO!AF58</f>
        <v>18249.150000000023</v>
      </c>
      <c r="H58" s="9">
        <f>C.ECONOMICO!H58-C.ECONOMICO!U58-C.ECONOMICO!V58-C.ECONOMICO!AG58</f>
        <v>0</v>
      </c>
      <c r="I58" s="9">
        <f>C.ECONOMICO!I58-C.ECONOMICO!X58-C.ECONOMICO!Y58-C.ECONOMICO!AC58</f>
        <v>0</v>
      </c>
      <c r="J58" s="9">
        <f>C.ECONOMICO!J58-C.ECONOMICO!AA58-C.ECONOMICO!AB58-C.ECONOMICO!AE58</f>
        <v>0</v>
      </c>
      <c r="K58" s="258">
        <f t="shared" si="10"/>
        <v>18249.150000000023</v>
      </c>
    </row>
    <row r="59" spans="1:11" ht="13.5" thickBot="1" x14ac:dyDescent="0.25">
      <c r="A59" s="78"/>
      <c r="B59" s="79"/>
      <c r="C59" s="13" t="s">
        <v>18</v>
      </c>
      <c r="D59" s="14">
        <f>D57-D58</f>
        <v>0</v>
      </c>
      <c r="E59" s="14">
        <f t="shared" ref="E59:K59" si="11">E57-E58</f>
        <v>0</v>
      </c>
      <c r="F59" s="14">
        <f t="shared" si="11"/>
        <v>87.630000000004657</v>
      </c>
      <c r="G59" s="14">
        <f t="shared" si="11"/>
        <v>-17347.950000000023</v>
      </c>
      <c r="H59" s="14">
        <f t="shared" si="11"/>
        <v>0</v>
      </c>
      <c r="I59" s="14">
        <f t="shared" si="11"/>
        <v>0</v>
      </c>
      <c r="J59" s="14">
        <f t="shared" si="11"/>
        <v>0</v>
      </c>
      <c r="K59" s="263">
        <f t="shared" si="11"/>
        <v>-17260.320000000018</v>
      </c>
    </row>
    <row r="60" spans="1:11" x14ac:dyDescent="0.2">
      <c r="A60" s="78"/>
      <c r="B60" s="79"/>
      <c r="C60" s="6" t="s">
        <v>166</v>
      </c>
      <c r="D60" s="16"/>
      <c r="E60" s="16"/>
      <c r="F60" s="16"/>
      <c r="G60" s="16"/>
      <c r="H60" s="16"/>
      <c r="I60" s="16"/>
      <c r="J60" s="16"/>
      <c r="K60" s="260"/>
    </row>
    <row r="61" spans="1:11" x14ac:dyDescent="0.2">
      <c r="A61" s="78">
        <v>24</v>
      </c>
      <c r="B61" s="79"/>
      <c r="C61" s="31" t="s">
        <v>124</v>
      </c>
      <c r="D61" s="16"/>
      <c r="E61" s="16"/>
      <c r="F61" s="16"/>
      <c r="G61" s="16"/>
      <c r="H61" s="16"/>
      <c r="I61" s="16"/>
      <c r="J61" s="16"/>
      <c r="K61" s="260"/>
    </row>
    <row r="62" spans="1:11" x14ac:dyDescent="0.2">
      <c r="A62" s="78"/>
      <c r="B62" s="79" t="s">
        <v>29</v>
      </c>
      <c r="C62" s="4" t="s">
        <v>216</v>
      </c>
      <c r="D62" s="9">
        <f>C.ECONOMICO!D62-C.ECONOMICO!K62-C.ECONOMICO!N62-C.ECONOMICO!Q62-C.ECONOMICO!T62-C.ECONOMICO!W62-C.ECONOMICO!Z62</f>
        <v>0</v>
      </c>
      <c r="E62" s="9">
        <f>C.ECONOMICO!E62-C.ECONOMICO!L62-C.ECONOMICO!M62-C.ECONOMICO!AG62</f>
        <v>0</v>
      </c>
      <c r="F62" s="9">
        <f>C.ECONOMICO!F62-C.ECONOMICO!O62-C.ECONOMICO!P62</f>
        <v>0</v>
      </c>
      <c r="G62" s="9">
        <f>C.ECONOMICO!G62-C.ECONOMICO!R62-C.ECONOMICO!S62-C.ECONOMICO!AD62-C.ECONOMICO!AH62-C.ECONOMICO!AF62</f>
        <v>0</v>
      </c>
      <c r="H62" s="9">
        <f>C.ECONOMICO!H62-C.ECONOMICO!U62-C.ECONOMICO!V62-C.ECONOMICO!AG62</f>
        <v>0</v>
      </c>
      <c r="I62" s="9">
        <f>C.ECONOMICO!I62-C.ECONOMICO!X62-C.ECONOMICO!Y62-C.ECONOMICO!AC62</f>
        <v>0</v>
      </c>
      <c r="J62" s="9">
        <f>C.ECONOMICO!J62-C.ECONOMICO!AA62-C.ECONOMICO!AB62-C.ECONOMICO!AE62</f>
        <v>0</v>
      </c>
      <c r="K62" s="258">
        <f t="shared" ref="K62:K66" si="12">SUM(D62:J62)</f>
        <v>0</v>
      </c>
    </row>
    <row r="63" spans="1:11" x14ac:dyDescent="0.2">
      <c r="A63" s="78"/>
      <c r="B63" s="79" t="s">
        <v>30</v>
      </c>
      <c r="C63" s="32" t="s">
        <v>123</v>
      </c>
      <c r="D63" s="9">
        <f>C.ECONOMICO!D63-C.ECONOMICO!K63-C.ECONOMICO!N63-C.ECONOMICO!Q63-C.ECONOMICO!T63-C.ECONOMICO!W63-C.ECONOMICO!Z63</f>
        <v>261600.13</v>
      </c>
      <c r="E63" s="9">
        <f>C.ECONOMICO!E63-C.ECONOMICO!L63-C.ECONOMICO!M63-C.ECONOMICO!AG63</f>
        <v>0</v>
      </c>
      <c r="F63" s="9">
        <f>C.ECONOMICO!F63-C.ECONOMICO!O63-C.ECONOMICO!P63</f>
        <v>0</v>
      </c>
      <c r="G63" s="9">
        <f>C.ECONOMICO!G63-C.ECONOMICO!R63-C.ECONOMICO!S63-C.ECONOMICO!AD63-C.ECONOMICO!AH63-C.ECONOMICO!AF63</f>
        <v>0</v>
      </c>
      <c r="H63" s="9">
        <f>C.ECONOMICO!H63-C.ECONOMICO!U63-C.ECONOMICO!V63-C.ECONOMICO!AG63</f>
        <v>0</v>
      </c>
      <c r="I63" s="9">
        <f>C.ECONOMICO!I63-C.ECONOMICO!X63-C.ECONOMICO!Y63-C.ECONOMICO!AC63</f>
        <v>0</v>
      </c>
      <c r="J63" s="9">
        <f>C.ECONOMICO!J63-C.ECONOMICO!AA63-C.ECONOMICO!AB63-C.ECONOMICO!AE63</f>
        <v>0</v>
      </c>
      <c r="K63" s="258">
        <f t="shared" si="12"/>
        <v>261600.13</v>
      </c>
    </row>
    <row r="64" spans="1:11" x14ac:dyDescent="0.2">
      <c r="A64" s="78" t="s">
        <v>0</v>
      </c>
      <c r="B64" s="79" t="s">
        <v>31</v>
      </c>
      <c r="C64" s="32" t="s">
        <v>68</v>
      </c>
      <c r="D64" s="9">
        <f>C.ECONOMICO!D64-C.ECONOMICO!K64-C.ECONOMICO!N64-C.ECONOMICO!Q64-C.ECONOMICO!T64-C.ECONOMICO!W64-C.ECONOMICO!Z64</f>
        <v>3881550.17</v>
      </c>
      <c r="E64" s="9">
        <f>C.ECONOMICO!E64-C.ECONOMICO!L64-C.ECONOMICO!M64-C.ECONOMICO!AG64</f>
        <v>0</v>
      </c>
      <c r="F64" s="9">
        <f>C.ECONOMICO!F64-C.ECONOMICO!O64-C.ECONOMICO!P64</f>
        <v>0</v>
      </c>
      <c r="G64" s="9">
        <f>C.ECONOMICO!G64-C.ECONOMICO!R64-C.ECONOMICO!S64-C.ECONOMICO!AD64-C.ECONOMICO!AH64-C.ECONOMICO!AF64</f>
        <v>0</v>
      </c>
      <c r="H64" s="9">
        <f>C.ECONOMICO!H64-C.ECONOMICO!U64-C.ECONOMICO!V64-C.ECONOMICO!AG64</f>
        <v>9.5499999999883585</v>
      </c>
      <c r="I64" s="9">
        <f>C.ECONOMICO!I64-C.ECONOMICO!X64-C.ECONOMICO!Y64-C.ECONOMICO!AC64</f>
        <v>0</v>
      </c>
      <c r="J64" s="9">
        <f>C.ECONOMICO!J64-C.ECONOMICO!AA64-C.ECONOMICO!AB64-C.ECONOMICO!AE64</f>
        <v>0</v>
      </c>
      <c r="K64" s="258">
        <f t="shared" si="12"/>
        <v>3881559.7199999997</v>
      </c>
    </row>
    <row r="65" spans="1:11" x14ac:dyDescent="0.2">
      <c r="A65" s="78" t="s">
        <v>0</v>
      </c>
      <c r="B65" s="79" t="s">
        <v>32</v>
      </c>
      <c r="C65" s="10" t="s">
        <v>19</v>
      </c>
      <c r="D65" s="9">
        <f>C.ECONOMICO!D65-C.ECONOMICO!K65-C.ECONOMICO!N65-C.ECONOMICO!Q65-C.ECONOMICO!T65-C.ECONOMICO!W65-C.ECONOMICO!Z65</f>
        <v>0</v>
      </c>
      <c r="E65" s="9">
        <f>C.ECONOMICO!E65-C.ECONOMICO!L65-C.ECONOMICO!M65-C.ECONOMICO!AG65</f>
        <v>0</v>
      </c>
      <c r="F65" s="9">
        <f>C.ECONOMICO!F65-C.ECONOMICO!O65-C.ECONOMICO!P65</f>
        <v>0</v>
      </c>
      <c r="G65" s="9">
        <f>C.ECONOMICO!G65-C.ECONOMICO!R65-C.ECONOMICO!S65-C.ECONOMICO!AD65-C.ECONOMICO!AH65-C.ECONOMICO!AF65</f>
        <v>0</v>
      </c>
      <c r="H65" s="9">
        <f>C.ECONOMICO!H65-C.ECONOMICO!U65-C.ECONOMICO!V65-C.ECONOMICO!AG65</f>
        <v>0</v>
      </c>
      <c r="I65" s="9">
        <f>C.ECONOMICO!I65-C.ECONOMICO!X65-C.ECONOMICO!Y65-C.ECONOMICO!AC65</f>
        <v>0</v>
      </c>
      <c r="J65" s="9">
        <f>C.ECONOMICO!J65-C.ECONOMICO!AA65-C.ECONOMICO!AB65-C.ECONOMICO!AE65</f>
        <v>0</v>
      </c>
      <c r="K65" s="258">
        <f t="shared" si="12"/>
        <v>0</v>
      </c>
    </row>
    <row r="66" spans="1:11" x14ac:dyDescent="0.2">
      <c r="A66" s="78"/>
      <c r="B66" s="79" t="s">
        <v>33</v>
      </c>
      <c r="C66" s="10" t="s">
        <v>98</v>
      </c>
      <c r="D66" s="9">
        <f>C.ECONOMICO!D66-C.ECONOMICO!K66-C.ECONOMICO!N66-C.ECONOMICO!Q66-C.ECONOMICO!T66-C.ECONOMICO!W66-C.ECONOMICO!Z66</f>
        <v>0</v>
      </c>
      <c r="E66" s="9">
        <f>C.ECONOMICO!E66-C.ECONOMICO!L66-C.ECONOMICO!M66-C.ECONOMICO!AG66</f>
        <v>0</v>
      </c>
      <c r="F66" s="9">
        <f>C.ECONOMICO!F66-C.ECONOMICO!O66-C.ECONOMICO!P66</f>
        <v>0</v>
      </c>
      <c r="G66" s="9">
        <f>C.ECONOMICO!G66-C.ECONOMICO!R66-C.ECONOMICO!S66-C.ECONOMICO!AD66-C.ECONOMICO!AH66-C.ECONOMICO!AF66</f>
        <v>0</v>
      </c>
      <c r="H66" s="9">
        <f>C.ECONOMICO!H66-C.ECONOMICO!U66-C.ECONOMICO!V66-C.ECONOMICO!AG66</f>
        <v>0</v>
      </c>
      <c r="I66" s="9">
        <f>C.ECONOMICO!I66-C.ECONOMICO!X66-C.ECONOMICO!Y66-C.ECONOMICO!AC66</f>
        <v>0</v>
      </c>
      <c r="J66" s="9">
        <f>C.ECONOMICO!J66-C.ECONOMICO!AA66-C.ECONOMICO!AB66-C.ECONOMICO!AE66</f>
        <v>0</v>
      </c>
      <c r="K66" s="258">
        <f t="shared" si="12"/>
        <v>0</v>
      </c>
    </row>
    <row r="67" spans="1:11" x14ac:dyDescent="0.2">
      <c r="A67" s="78"/>
      <c r="B67" s="79"/>
      <c r="C67" s="33" t="s">
        <v>38</v>
      </c>
      <c r="D67" s="34">
        <f>SUM(D62:D66)</f>
        <v>4143150.3</v>
      </c>
      <c r="E67" s="34">
        <f t="shared" ref="E67:K67" si="13">SUM(E62:E66)</f>
        <v>0</v>
      </c>
      <c r="F67" s="34">
        <f t="shared" si="13"/>
        <v>0</v>
      </c>
      <c r="G67" s="34">
        <f t="shared" si="13"/>
        <v>0</v>
      </c>
      <c r="H67" s="34">
        <f t="shared" si="13"/>
        <v>9.5499999999883585</v>
      </c>
      <c r="I67" s="34">
        <f t="shared" si="13"/>
        <v>0</v>
      </c>
      <c r="J67" s="34">
        <f t="shared" si="13"/>
        <v>0</v>
      </c>
      <c r="K67" s="265">
        <f t="shared" si="13"/>
        <v>4143159.8499999996</v>
      </c>
    </row>
    <row r="68" spans="1:11" x14ac:dyDescent="0.2">
      <c r="A68" s="78">
        <v>25</v>
      </c>
      <c r="B68" s="79"/>
      <c r="C68" s="31" t="s">
        <v>125</v>
      </c>
      <c r="D68" s="16"/>
      <c r="E68" s="16"/>
      <c r="F68" s="16"/>
      <c r="G68" s="16"/>
      <c r="H68" s="16"/>
      <c r="I68" s="16"/>
      <c r="J68" s="16"/>
      <c r="K68" s="260"/>
    </row>
    <row r="69" spans="1:11" x14ac:dyDescent="0.2">
      <c r="A69" s="78"/>
      <c r="B69" s="79" t="s">
        <v>29</v>
      </c>
      <c r="C69" s="32" t="s">
        <v>126</v>
      </c>
      <c r="D69" s="9">
        <f>C.ECONOMICO!D69-C.ECONOMICO!K69-C.ECONOMICO!N69-C.ECONOMICO!Q69-C.ECONOMICO!T69-C.ECONOMICO!W69-C.ECONOMICO!Z69</f>
        <v>0</v>
      </c>
      <c r="E69" s="9">
        <f>C.ECONOMICO!E69-C.ECONOMICO!L69-C.ECONOMICO!M69</f>
        <v>0</v>
      </c>
      <c r="F69" s="9">
        <f>C.ECONOMICO!F69-C.ECONOMICO!O69-C.ECONOMICO!P69</f>
        <v>0</v>
      </c>
      <c r="G69" s="9">
        <f>C.ECONOMICO!G69-C.ECONOMICO!R69-C.ECONOMICO!S69-C.ECONOMICO!AD69-C.ECONOMICO!AH69-C.ECONOMICO!AF69</f>
        <v>0</v>
      </c>
      <c r="H69" s="9">
        <f>C.ECONOMICO!H69-C.ECONOMICO!U69-C.ECONOMICO!V69-C.ECONOMICO!AG69</f>
        <v>0</v>
      </c>
      <c r="I69" s="9">
        <f>C.ECONOMICO!I69-C.ECONOMICO!X69-C.ECONOMICO!Y69-C.ECONOMICO!AC69</f>
        <v>0</v>
      </c>
      <c r="J69" s="9">
        <f>C.ECONOMICO!J69-C.ECONOMICO!AA69-C.ECONOMICO!AB69-C.ECONOMICO!AE69</f>
        <v>0</v>
      </c>
      <c r="K69" s="258">
        <f t="shared" ref="K69:K72" si="14">SUM(D69:J69)</f>
        <v>0</v>
      </c>
    </row>
    <row r="70" spans="1:11" x14ac:dyDescent="0.2">
      <c r="A70" s="78" t="s">
        <v>0</v>
      </c>
      <c r="B70" s="79" t="s">
        <v>30</v>
      </c>
      <c r="C70" s="32" t="s">
        <v>127</v>
      </c>
      <c r="D70" s="9">
        <f>C.ECONOMICO!D70-C.ECONOMICO!K70-C.ECONOMICO!N70-C.ECONOMICO!Q70-C.ECONOMICO!T70-C.ECONOMICO!W70-C.ECONOMICO!Z70</f>
        <v>14706.85</v>
      </c>
      <c r="E70" s="9">
        <f>C.ECONOMICO!E70-C.ECONOMICO!L70-C.ECONOMICO!M70</f>
        <v>0</v>
      </c>
      <c r="F70" s="9">
        <f>C.ECONOMICO!F70-C.ECONOMICO!O70-C.ECONOMICO!P70</f>
        <v>0</v>
      </c>
      <c r="G70" s="9">
        <f>C.ECONOMICO!G70-C.ECONOMICO!R70-C.ECONOMICO!S70-C.ECONOMICO!AD70-C.ECONOMICO!AH70-C.ECONOMICO!AF70</f>
        <v>0</v>
      </c>
      <c r="H70" s="9">
        <f>C.ECONOMICO!H70-C.ECONOMICO!U70-C.ECONOMICO!V70-C.ECONOMICO!AG70</f>
        <v>0.21000000000003638</v>
      </c>
      <c r="I70" s="9">
        <f>C.ECONOMICO!I70-C.ECONOMICO!X70-C.ECONOMICO!Y70-C.ECONOMICO!AC70</f>
        <v>0</v>
      </c>
      <c r="J70" s="9">
        <f>C.ECONOMICO!J70-C.ECONOMICO!AA70-C.ECONOMICO!AB70-C.ECONOMICO!AE70</f>
        <v>0</v>
      </c>
      <c r="K70" s="258">
        <f t="shared" si="14"/>
        <v>14707.060000000001</v>
      </c>
    </row>
    <row r="71" spans="1:11" x14ac:dyDescent="0.2">
      <c r="A71" s="78" t="s">
        <v>0</v>
      </c>
      <c r="B71" s="79" t="s">
        <v>31</v>
      </c>
      <c r="C71" s="10" t="s">
        <v>20</v>
      </c>
      <c r="D71" s="9">
        <f>C.ECONOMICO!D71-C.ECONOMICO!K71-C.ECONOMICO!N71-C.ECONOMICO!Q71-C.ECONOMICO!T71-C.ECONOMICO!W71-C.ECONOMICO!Z71</f>
        <v>0</v>
      </c>
      <c r="E71" s="9">
        <f>C.ECONOMICO!E71-C.ECONOMICO!L71-C.ECONOMICO!M71</f>
        <v>0</v>
      </c>
      <c r="F71" s="9">
        <f>C.ECONOMICO!F71-C.ECONOMICO!O71-C.ECONOMICO!P71</f>
        <v>0</v>
      </c>
      <c r="G71" s="9">
        <f>C.ECONOMICO!G71-C.ECONOMICO!R71-C.ECONOMICO!S71-C.ECONOMICO!AD71-C.ECONOMICO!AH71-C.ECONOMICO!AF71</f>
        <v>0</v>
      </c>
      <c r="H71" s="9">
        <f>C.ECONOMICO!H71-C.ECONOMICO!U71-C.ECONOMICO!V71-C.ECONOMICO!AG71</f>
        <v>0</v>
      </c>
      <c r="I71" s="9">
        <f>C.ECONOMICO!I71-C.ECONOMICO!X71-C.ECONOMICO!Y71-C.ECONOMICO!AC71</f>
        <v>0</v>
      </c>
      <c r="J71" s="9">
        <f>C.ECONOMICO!J71-C.ECONOMICO!AA71-C.ECONOMICO!AB71-C.ECONOMICO!AE71</f>
        <v>0</v>
      </c>
      <c r="K71" s="258">
        <f t="shared" si="14"/>
        <v>0</v>
      </c>
    </row>
    <row r="72" spans="1:11" x14ac:dyDescent="0.2">
      <c r="A72" s="78" t="s">
        <v>0</v>
      </c>
      <c r="B72" s="79" t="s">
        <v>32</v>
      </c>
      <c r="C72" s="10" t="s">
        <v>21</v>
      </c>
      <c r="D72" s="9">
        <f>C.ECONOMICO!D72-C.ECONOMICO!K72-C.ECONOMICO!N72-C.ECONOMICO!Q72-C.ECONOMICO!T72-C.ECONOMICO!W72-C.ECONOMICO!Z72</f>
        <v>0</v>
      </c>
      <c r="E72" s="9">
        <f>C.ECONOMICO!E72-C.ECONOMICO!L72-C.ECONOMICO!M72</f>
        <v>0</v>
      </c>
      <c r="F72" s="9">
        <f>C.ECONOMICO!F72-C.ECONOMICO!O72-C.ECONOMICO!P72</f>
        <v>0</v>
      </c>
      <c r="G72" s="9">
        <f>C.ECONOMICO!G72-C.ECONOMICO!R72-C.ECONOMICO!S72-C.ECONOMICO!AD72-C.ECONOMICO!AH72-C.ECONOMICO!AF72</f>
        <v>0</v>
      </c>
      <c r="H72" s="9">
        <f>C.ECONOMICO!H72-C.ECONOMICO!U72-C.ECONOMICO!V72-C.ECONOMICO!AG72</f>
        <v>0</v>
      </c>
      <c r="I72" s="9">
        <f>C.ECONOMICO!I72-C.ECONOMICO!X72-C.ECONOMICO!Y72-C.ECONOMICO!AC72</f>
        <v>0</v>
      </c>
      <c r="J72" s="9">
        <f>C.ECONOMICO!J72-C.ECONOMICO!AA72-C.ECONOMICO!AB72-C.ECONOMICO!AE72</f>
        <v>0</v>
      </c>
      <c r="K72" s="258">
        <f t="shared" si="14"/>
        <v>0</v>
      </c>
    </row>
    <row r="73" spans="1:11" x14ac:dyDescent="0.2">
      <c r="A73" s="78"/>
      <c r="B73" s="79"/>
      <c r="C73" s="33" t="s">
        <v>39</v>
      </c>
      <c r="D73" s="23">
        <f>SUM(D69:D72)</f>
        <v>14706.85</v>
      </c>
      <c r="E73" s="23">
        <f t="shared" ref="E73:K73" si="15">SUM(E69:E72)</f>
        <v>0</v>
      </c>
      <c r="F73" s="23">
        <f t="shared" si="15"/>
        <v>0</v>
      </c>
      <c r="G73" s="23">
        <f t="shared" si="15"/>
        <v>0</v>
      </c>
      <c r="H73" s="23">
        <f t="shared" si="15"/>
        <v>0.21000000000003638</v>
      </c>
      <c r="I73" s="23">
        <f t="shared" si="15"/>
        <v>0</v>
      </c>
      <c r="J73" s="23">
        <f t="shared" si="15"/>
        <v>0</v>
      </c>
      <c r="K73" s="266">
        <f t="shared" si="15"/>
        <v>14707.060000000001</v>
      </c>
    </row>
    <row r="74" spans="1:11" ht="13.5" thickBot="1" x14ac:dyDescent="0.25">
      <c r="A74" s="78"/>
      <c r="B74" s="79"/>
      <c r="C74" s="13" t="s">
        <v>40</v>
      </c>
      <c r="D74" s="36">
        <f>D67-D73</f>
        <v>4128443.4499999997</v>
      </c>
      <c r="E74" s="36">
        <f t="shared" ref="E74:K74" si="16">E67-E73</f>
        <v>0</v>
      </c>
      <c r="F74" s="36">
        <f t="shared" si="16"/>
        <v>0</v>
      </c>
      <c r="G74" s="36">
        <f t="shared" si="16"/>
        <v>0</v>
      </c>
      <c r="H74" s="36">
        <f t="shared" si="16"/>
        <v>9.3399999999883221</v>
      </c>
      <c r="I74" s="36">
        <f t="shared" si="16"/>
        <v>0</v>
      </c>
      <c r="J74" s="36">
        <f t="shared" si="16"/>
        <v>0</v>
      </c>
      <c r="K74" s="267">
        <f t="shared" si="16"/>
        <v>4128452.7899999996</v>
      </c>
    </row>
    <row r="75" spans="1:11" ht="13.5" thickBot="1" x14ac:dyDescent="0.25">
      <c r="A75" s="78"/>
      <c r="B75" s="79"/>
      <c r="C75" s="13" t="s">
        <v>191</v>
      </c>
      <c r="D75" s="38">
        <f>D19-D39+D55+D59+D74</f>
        <v>6425091.1738233287</v>
      </c>
      <c r="E75" s="38">
        <f t="shared" ref="E75:K75" si="17">E19-E39+E55+E59+E74</f>
        <v>0</v>
      </c>
      <c r="F75" s="38">
        <f t="shared" si="17"/>
        <v>11235.849406637484</v>
      </c>
      <c r="G75" s="38">
        <f t="shared" si="17"/>
        <v>39849.549999999916</v>
      </c>
      <c r="H75" s="38">
        <f t="shared" si="17"/>
        <v>40.294270036602029</v>
      </c>
      <c r="I75" s="38">
        <f t="shared" si="17"/>
        <v>-6637.4775000016207</v>
      </c>
      <c r="J75" s="38">
        <f t="shared" si="17"/>
        <v>0</v>
      </c>
      <c r="K75" s="268">
        <f t="shared" si="17"/>
        <v>6469579.3900000006</v>
      </c>
    </row>
    <row r="76" spans="1:11" ht="13.5" thickBot="1" x14ac:dyDescent="0.25">
      <c r="A76" s="78">
        <v>26</v>
      </c>
      <c r="B76" s="79"/>
      <c r="C76" s="40" t="s">
        <v>151</v>
      </c>
      <c r="D76" s="9">
        <f>C.ECONOMICO!D76-C.ECONOMICO!K76-C.ECONOMICO!N76-C.ECONOMICO!Q76-C.ECONOMICO!T76-C.ECONOMICO!W76-C.ECONOMICO!Z76</f>
        <v>103018.97</v>
      </c>
      <c r="E76" s="9">
        <f>C.ECONOMICO!E76-C.ECONOMICO!L76-C.ECONOMICO!M76</f>
        <v>0</v>
      </c>
      <c r="F76" s="9">
        <f>C.ECONOMICO!F76-C.ECONOMICO!O76-C.ECONOMICO!P76</f>
        <v>6321.7000000001863</v>
      </c>
      <c r="G76" s="9">
        <f>C.ECONOMICO!G76-C.ECONOMICO!R76-C.ECONOMICO!S76-C.ECONOMICO!AD76-C.ECONOMICO!AH76-C.ECONOMICO!AF76</f>
        <v>4573.5500000000029</v>
      </c>
      <c r="H76" s="9">
        <f>C.ECONOMICO!H76-C.ECONOMICO!U76-C.ECONOMICO!V76-C.ECONOMICO!AG76</f>
        <v>1.4099999999962165</v>
      </c>
      <c r="I76" s="9">
        <f>C.ECONOMICO!I76-C.ECONOMICO!X76-C.ECONOMICO!Y76</f>
        <v>6923.8500000000058</v>
      </c>
      <c r="J76" s="9">
        <f>C.ECONOMICO!J76-C.ECONOMICO!AA76-C.ECONOMICO!AB76-C.ECONOMICO!AE76</f>
        <v>0</v>
      </c>
      <c r="K76" s="258">
        <f>SUM(D76:J76)</f>
        <v>120839.48000000019</v>
      </c>
    </row>
    <row r="77" spans="1:11" ht="17.25" customHeight="1" thickBot="1" x14ac:dyDescent="0.25">
      <c r="A77" s="78">
        <v>27</v>
      </c>
      <c r="B77" s="79"/>
      <c r="C77" s="41" t="s">
        <v>211</v>
      </c>
      <c r="D77" s="42">
        <f>D75-D76</f>
        <v>6322072.2038233289</v>
      </c>
      <c r="E77" s="42">
        <f>E75-E76</f>
        <v>0</v>
      </c>
      <c r="F77" s="42">
        <f t="shared" ref="F77:H77" si="18">F75-F76</f>
        <v>4914.1494066372979</v>
      </c>
      <c r="G77" s="42">
        <f t="shared" si="18"/>
        <v>35275.999999999913</v>
      </c>
      <c r="H77" s="42">
        <f t="shared" si="18"/>
        <v>38.884270036605812</v>
      </c>
      <c r="I77" s="42">
        <f t="shared" ref="I77:J77" si="19">I75-I76</f>
        <v>-13561.327500001626</v>
      </c>
      <c r="J77" s="42">
        <f t="shared" si="19"/>
        <v>0</v>
      </c>
      <c r="K77" s="269">
        <f>K75-K76</f>
        <v>6348739.9100000001</v>
      </c>
    </row>
    <row r="78" spans="1:11" ht="14.1" customHeight="1" thickBot="1" x14ac:dyDescent="0.25">
      <c r="A78" s="81">
        <v>28</v>
      </c>
      <c r="B78" s="82"/>
      <c r="C78" s="44" t="s">
        <v>210</v>
      </c>
      <c r="D78" s="45"/>
      <c r="E78" s="45"/>
      <c r="F78" s="45"/>
      <c r="G78" s="45"/>
      <c r="H78" s="45"/>
      <c r="I78" s="45"/>
      <c r="J78" s="45"/>
      <c r="K78" s="270">
        <f>SUM(D78:J78)</f>
        <v>0</v>
      </c>
    </row>
    <row r="79" spans="1:11" ht="13.5" thickTop="1" x14ac:dyDescent="0.2"/>
  </sheetData>
  <mergeCells count="9">
    <mergeCell ref="K1:K2"/>
    <mergeCell ref="A1:C2"/>
    <mergeCell ref="D1:D2"/>
    <mergeCell ref="E1:E2"/>
    <mergeCell ref="I1:I2"/>
    <mergeCell ref="J1:J2"/>
    <mergeCell ref="F1:F2"/>
    <mergeCell ref="G1:G2"/>
    <mergeCell ref="H1:H2"/>
  </mergeCells>
  <pageMargins left="0.74803149606299213" right="0.74803149606299213" top="0.27559055118110237" bottom="7.874015748031496E-2" header="0.15748031496062992" footer="0.19685039370078741"/>
  <pageSetup paperSize="8" fitToHeight="10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showGridLines="0" zoomScaleNormal="100" workbookViewId="0">
      <pane ySplit="2" topLeftCell="A3" activePane="bottomLeft" state="frozen"/>
      <selection pane="bottomLeft" activeCell="E1" sqref="E1:L2"/>
    </sheetView>
  </sheetViews>
  <sheetFormatPr defaultColWidth="9.140625" defaultRowHeight="12.75" x14ac:dyDescent="0.2"/>
  <cols>
    <col min="1" max="1" width="3.28515625" style="138" customWidth="1"/>
    <col min="2" max="2" width="4.28515625" style="138" customWidth="1"/>
    <col min="3" max="3" width="2.5703125" style="138" customWidth="1"/>
    <col min="4" max="4" width="52.85546875" style="92" customWidth="1"/>
    <col min="5" max="5" width="17.140625" style="92" customWidth="1"/>
    <col min="6" max="6" width="17.140625" style="92" hidden="1" customWidth="1"/>
    <col min="7" max="10" width="17.140625" style="92" customWidth="1"/>
    <col min="11" max="11" width="17.140625" style="92" hidden="1" customWidth="1"/>
    <col min="12" max="12" width="17.140625" style="92" customWidth="1"/>
    <col min="13" max="13" width="4.7109375" style="92" customWidth="1"/>
    <col min="14" max="16384" width="9.140625" style="92"/>
  </cols>
  <sheetData>
    <row r="1" spans="1:12" ht="13.5" customHeight="1" thickTop="1" x14ac:dyDescent="0.2">
      <c r="A1" s="577" t="s">
        <v>163</v>
      </c>
      <c r="B1" s="578"/>
      <c r="C1" s="578"/>
      <c r="D1" s="579"/>
      <c r="E1" s="572" t="s">
        <v>235</v>
      </c>
      <c r="F1" s="572"/>
      <c r="G1" s="572" t="s">
        <v>236</v>
      </c>
      <c r="H1" s="572" t="s">
        <v>237</v>
      </c>
      <c r="I1" s="572" t="s">
        <v>238</v>
      </c>
      <c r="J1" s="572" t="s">
        <v>239</v>
      </c>
      <c r="K1" s="572"/>
      <c r="L1" s="575" t="s">
        <v>218</v>
      </c>
    </row>
    <row r="2" spans="1:12" ht="13.5" thickBot="1" x14ac:dyDescent="0.25">
      <c r="A2" s="580"/>
      <c r="B2" s="581"/>
      <c r="C2" s="581"/>
      <c r="D2" s="582"/>
      <c r="E2" s="574"/>
      <c r="F2" s="574"/>
      <c r="G2" s="574"/>
      <c r="H2" s="574"/>
      <c r="I2" s="574"/>
      <c r="J2" s="573"/>
      <c r="K2" s="574"/>
      <c r="L2" s="576"/>
    </row>
    <row r="3" spans="1:12" ht="26.25" thickTop="1" x14ac:dyDescent="0.2">
      <c r="A3" s="93"/>
      <c r="B3" s="94">
        <v>1</v>
      </c>
      <c r="C3" s="95"/>
      <c r="D3" s="48" t="s">
        <v>173</v>
      </c>
      <c r="E3" s="96">
        <f>'ATTIVO PATR'!E3-'ATTIVO PATR'!L3-'ATTIVO PATR'!O3-'ATTIVO PATR'!R3-'ATTIVO PATR'!U3-'ATTIVO PATR'!X3-'ATTIVO PATR'!AA3</f>
        <v>0</v>
      </c>
      <c r="F3" s="97">
        <f>'ATTIVO PATR'!F3-'ATTIVO PATR'!M3-'ATTIVO PATR'!N3</f>
        <v>0</v>
      </c>
      <c r="G3" s="97">
        <f>'ATTIVO PATR'!G3-'ATTIVO PATR'!P3-'ATTIVO PATR'!Q3</f>
        <v>0</v>
      </c>
      <c r="H3" s="97">
        <f>'ATTIVO PATR'!H3-'ATTIVO PATR'!S3-'ATTIVO PATR'!T3-'ATTIVO PATR'!AI3-'ATTIVO PATR'!AE3-'ATTIVO PATR'!AG3</f>
        <v>79.150000000000091</v>
      </c>
      <c r="I3" s="97">
        <f>'ATTIVO PATR'!I3-'ATTIVO PATR'!V3-'ATTIVO PATR'!W3-'ATTIVO PATR'!AH3</f>
        <v>0</v>
      </c>
      <c r="J3" s="97">
        <f>'ATTIVO PATR'!J3-'ATTIVO PATR'!Y3-'ATTIVO PATR'!Z3-'ATTIVO PATR'!AD3</f>
        <v>0</v>
      </c>
      <c r="K3" s="97">
        <f>'ATTIVO PATR'!K3-'ATTIVO PATR'!AB3-'ATTIVO PATR'!AC3-'ATTIVO PATR'!AF3</f>
        <v>0</v>
      </c>
      <c r="L3" s="271">
        <f>SUM(E3:K3)</f>
        <v>79.150000000000091</v>
      </c>
    </row>
    <row r="4" spans="1:12" x14ac:dyDescent="0.2">
      <c r="A4" s="93"/>
      <c r="B4" s="94"/>
      <c r="C4" s="95"/>
      <c r="D4" s="72" t="s">
        <v>174</v>
      </c>
      <c r="E4" s="98">
        <f>E3</f>
        <v>0</v>
      </c>
      <c r="F4" s="99">
        <f t="shared" ref="F4:L4" si="0">F3</f>
        <v>0</v>
      </c>
      <c r="G4" s="99">
        <f t="shared" si="0"/>
        <v>0</v>
      </c>
      <c r="H4" s="99">
        <f t="shared" si="0"/>
        <v>79.150000000000091</v>
      </c>
      <c r="I4" s="99">
        <f t="shared" si="0"/>
        <v>0</v>
      </c>
      <c r="J4" s="99">
        <f t="shared" si="0"/>
        <v>0</v>
      </c>
      <c r="K4" s="99">
        <f t="shared" si="0"/>
        <v>0</v>
      </c>
      <c r="L4" s="272">
        <f t="shared" si="0"/>
        <v>79.150000000000091</v>
      </c>
    </row>
    <row r="5" spans="1:12" x14ac:dyDescent="0.2">
      <c r="A5" s="93"/>
      <c r="B5" s="94"/>
      <c r="C5" s="95"/>
      <c r="D5" s="101" t="s">
        <v>175</v>
      </c>
      <c r="E5" s="102"/>
      <c r="F5" s="103"/>
      <c r="G5" s="103"/>
      <c r="H5" s="103"/>
      <c r="I5" s="103"/>
      <c r="J5" s="103"/>
      <c r="K5" s="103"/>
      <c r="L5" s="257"/>
    </row>
    <row r="6" spans="1:12" x14ac:dyDescent="0.2">
      <c r="A6" s="93" t="s">
        <v>41</v>
      </c>
      <c r="B6" s="94"/>
      <c r="C6" s="95"/>
      <c r="D6" s="104" t="s">
        <v>58</v>
      </c>
      <c r="E6" s="102"/>
      <c r="F6" s="103"/>
      <c r="G6" s="103"/>
      <c r="H6" s="103"/>
      <c r="I6" s="103"/>
      <c r="J6" s="103"/>
      <c r="K6" s="103"/>
      <c r="L6" s="257"/>
    </row>
    <row r="7" spans="1:12" x14ac:dyDescent="0.2">
      <c r="A7" s="93"/>
      <c r="B7" s="94">
        <v>1</v>
      </c>
      <c r="C7" s="95"/>
      <c r="D7" s="105" t="s">
        <v>70</v>
      </c>
      <c r="E7" s="96">
        <f>'ATTIVO PATR'!E7-'ATTIVO PATR'!L7-'ATTIVO PATR'!O7-'ATTIVO PATR'!R7-'ATTIVO PATR'!U7-'ATTIVO PATR'!X7-'ATTIVO PATR'!AA7</f>
        <v>0</v>
      </c>
      <c r="F7" s="97">
        <f>'ATTIVO PATR'!F7-'ATTIVO PATR'!M7-'ATTIVO PATR'!N7</f>
        <v>0</v>
      </c>
      <c r="G7" s="97">
        <f>'ATTIVO PATR'!G7-'ATTIVO PATR'!P7-'ATTIVO PATR'!Q7</f>
        <v>0</v>
      </c>
      <c r="H7" s="97">
        <f>'ATTIVO PATR'!H7-'ATTIVO PATR'!S7-'ATTIVO PATR'!T7-'ATTIVO PATR'!AI7-'ATTIVO PATR'!AE7-'ATTIVO PATR'!AG7</f>
        <v>0</v>
      </c>
      <c r="I7" s="97">
        <f>'ATTIVO PATR'!I7-'ATTIVO PATR'!V7-'ATTIVO PATR'!W7-'ATTIVO PATR'!AH7</f>
        <v>0</v>
      </c>
      <c r="J7" s="97">
        <f>'ATTIVO PATR'!J7-'ATTIVO PATR'!Y7-'ATTIVO PATR'!Z7-'ATTIVO PATR'!AD7</f>
        <v>0</v>
      </c>
      <c r="K7" s="97">
        <f>'ATTIVO PATR'!K7-'ATTIVO PATR'!AB7-'ATTIVO PATR'!AC7-'ATTIVO PATR'!AF7</f>
        <v>0</v>
      </c>
      <c r="L7" s="257">
        <f t="shared" ref="L7:L13" si="1">SUM(E7:K7)</f>
        <v>0</v>
      </c>
    </row>
    <row r="8" spans="1:12" x14ac:dyDescent="0.2">
      <c r="A8" s="93"/>
      <c r="B8" s="94">
        <v>2</v>
      </c>
      <c r="C8" s="95"/>
      <c r="D8" s="105" t="s">
        <v>71</v>
      </c>
      <c r="E8" s="96">
        <f>'ATTIVO PATR'!E8-'ATTIVO PATR'!L8-'ATTIVO PATR'!O8-'ATTIVO PATR'!R8-'ATTIVO PATR'!U8-'ATTIVO PATR'!X8-'ATTIVO PATR'!AA8</f>
        <v>0</v>
      </c>
      <c r="F8" s="97">
        <f>'ATTIVO PATR'!F8-'ATTIVO PATR'!M8-'ATTIVO PATR'!N8</f>
        <v>0</v>
      </c>
      <c r="G8" s="97">
        <f>'ATTIVO PATR'!G8-'ATTIVO PATR'!P8-'ATTIVO PATR'!Q8</f>
        <v>0</v>
      </c>
      <c r="H8" s="97">
        <f>'ATTIVO PATR'!H8-'ATTIVO PATR'!S8-'ATTIVO PATR'!T8-'ATTIVO PATR'!AI8-'ATTIVO PATR'!AE8-'ATTIVO PATR'!AG8</f>
        <v>0</v>
      </c>
      <c r="I8" s="97">
        <f>'ATTIVO PATR'!I8-'ATTIVO PATR'!V8-'ATTIVO PATR'!W8-'ATTIVO PATR'!AH8</f>
        <v>0</v>
      </c>
      <c r="J8" s="97">
        <f>'ATTIVO PATR'!J8-'ATTIVO PATR'!Y8-'ATTIVO PATR'!Z8-'ATTIVO PATR'!AD8</f>
        <v>0</v>
      </c>
      <c r="K8" s="97">
        <f>'ATTIVO PATR'!K8-'ATTIVO PATR'!AB8-'ATTIVO PATR'!AC8-'ATTIVO PATR'!AF8</f>
        <v>0</v>
      </c>
      <c r="L8" s="257">
        <f t="shared" si="1"/>
        <v>0</v>
      </c>
    </row>
    <row r="9" spans="1:12" x14ac:dyDescent="0.2">
      <c r="A9" s="93"/>
      <c r="B9" s="94">
        <v>3</v>
      </c>
      <c r="C9" s="95"/>
      <c r="D9" s="105" t="s">
        <v>72</v>
      </c>
      <c r="E9" s="96">
        <f>'ATTIVO PATR'!E9-'ATTIVO PATR'!L9-'ATTIVO PATR'!O9-'ATTIVO PATR'!R9-'ATTIVO PATR'!U9-'ATTIVO PATR'!X9-'ATTIVO PATR'!AA9</f>
        <v>0</v>
      </c>
      <c r="F9" s="97">
        <f>'ATTIVO PATR'!F9-'ATTIVO PATR'!M9-'ATTIVO PATR'!N9</f>
        <v>0</v>
      </c>
      <c r="G9" s="97">
        <f>'ATTIVO PATR'!G9-'ATTIVO PATR'!P9-'ATTIVO PATR'!Q9</f>
        <v>0</v>
      </c>
      <c r="H9" s="97">
        <f>'ATTIVO PATR'!H9-'ATTIVO PATR'!S9-'ATTIVO PATR'!T9-'ATTIVO PATR'!AI9-'ATTIVO PATR'!AE9-'ATTIVO PATR'!AG9</f>
        <v>0</v>
      </c>
      <c r="I9" s="97">
        <f>'ATTIVO PATR'!I9-'ATTIVO PATR'!V9-'ATTIVO PATR'!W9-'ATTIVO PATR'!AH9</f>
        <v>0</v>
      </c>
      <c r="J9" s="97">
        <f>'ATTIVO PATR'!J9-'ATTIVO PATR'!Y9-'ATTIVO PATR'!Z9-'ATTIVO PATR'!AD9</f>
        <v>881.70000000000073</v>
      </c>
      <c r="K9" s="97">
        <f>'ATTIVO PATR'!K9-'ATTIVO PATR'!AB9-'ATTIVO PATR'!AC9-'ATTIVO PATR'!AF9</f>
        <v>0</v>
      </c>
      <c r="L9" s="257">
        <f t="shared" si="1"/>
        <v>881.70000000000073</v>
      </c>
    </row>
    <row r="10" spans="1:12" x14ac:dyDescent="0.2">
      <c r="A10" s="93"/>
      <c r="B10" s="94">
        <v>4</v>
      </c>
      <c r="C10" s="95"/>
      <c r="D10" s="105" t="s">
        <v>73</v>
      </c>
      <c r="E10" s="96">
        <f>'ATTIVO PATR'!E10-'ATTIVO PATR'!L10-'ATTIVO PATR'!O10-'ATTIVO PATR'!R10-'ATTIVO PATR'!U10-'ATTIVO PATR'!X10-'ATTIVO PATR'!AA10</f>
        <v>0</v>
      </c>
      <c r="F10" s="97">
        <f>'ATTIVO PATR'!F10-'ATTIVO PATR'!M10-'ATTIVO PATR'!N10</f>
        <v>0</v>
      </c>
      <c r="G10" s="97">
        <f>'ATTIVO PATR'!G10-'ATTIVO PATR'!P10-'ATTIVO PATR'!Q10</f>
        <v>30410.329999998212</v>
      </c>
      <c r="H10" s="97">
        <f>'ATTIVO PATR'!H10-'ATTIVO PATR'!S10-'ATTIVO PATR'!T10-'ATTIVO PATR'!AI10-'ATTIVO PATR'!AE10-'ATTIVO PATR'!AG10</f>
        <v>646.20000000000073</v>
      </c>
      <c r="I10" s="97">
        <f>'ATTIVO PATR'!I10-'ATTIVO PATR'!V10-'ATTIVO PATR'!W10-'ATTIVO PATR'!AH10</f>
        <v>9.0000000000145519E-2</v>
      </c>
      <c r="J10" s="97">
        <f>'ATTIVO PATR'!J10-'ATTIVO PATR'!Y10-'ATTIVO PATR'!Z10-'ATTIVO PATR'!AD10</f>
        <v>0</v>
      </c>
      <c r="K10" s="97">
        <f>'ATTIVO PATR'!K10-'ATTIVO PATR'!AB10-'ATTIVO PATR'!AC10-'ATTIVO PATR'!AF10</f>
        <v>0</v>
      </c>
      <c r="L10" s="257">
        <f t="shared" si="1"/>
        <v>31056.619999998213</v>
      </c>
    </row>
    <row r="11" spans="1:12" x14ac:dyDescent="0.2">
      <c r="A11" s="93"/>
      <c r="B11" s="94">
        <v>5</v>
      </c>
      <c r="C11" s="95"/>
      <c r="D11" s="105" t="s">
        <v>74</v>
      </c>
      <c r="E11" s="96">
        <f>'ATTIVO PATR'!E11-'ATTIVO PATR'!L11-'ATTIVO PATR'!O11-'ATTIVO PATR'!R11-'ATTIVO PATR'!U11-'ATTIVO PATR'!X11-'ATTIVO PATR'!AA11</f>
        <v>0</v>
      </c>
      <c r="F11" s="97">
        <f>'ATTIVO PATR'!F11-'ATTIVO PATR'!M11-'ATTIVO PATR'!N11</f>
        <v>0</v>
      </c>
      <c r="G11" s="97">
        <f>'ATTIVO PATR'!G11-'ATTIVO PATR'!P11-'ATTIVO PATR'!Q11</f>
        <v>0</v>
      </c>
      <c r="H11" s="97">
        <f>'ATTIVO PATR'!H11-'ATTIVO PATR'!S11-'ATTIVO PATR'!T11-'ATTIVO PATR'!AI11-'ATTIVO PATR'!AE11-'ATTIVO PATR'!AG11</f>
        <v>0</v>
      </c>
      <c r="I11" s="97">
        <f>'ATTIVO PATR'!I11-'ATTIVO PATR'!V11-'ATTIVO PATR'!W11-'ATTIVO PATR'!AH11</f>
        <v>0</v>
      </c>
      <c r="J11" s="97">
        <f>'ATTIVO PATR'!J11-'ATTIVO PATR'!Y11-'ATTIVO PATR'!Z11-'ATTIVO PATR'!AD11</f>
        <v>0</v>
      </c>
      <c r="K11" s="97">
        <f>'ATTIVO PATR'!K11-'ATTIVO PATR'!AB11-'ATTIVO PATR'!AC11-'ATTIVO PATR'!AF11</f>
        <v>0</v>
      </c>
      <c r="L11" s="257">
        <f t="shared" si="1"/>
        <v>0</v>
      </c>
    </row>
    <row r="12" spans="1:12" x14ac:dyDescent="0.2">
      <c r="A12" s="93"/>
      <c r="B12" s="94">
        <v>6</v>
      </c>
      <c r="C12" s="95"/>
      <c r="D12" s="105" t="s">
        <v>54</v>
      </c>
      <c r="E12" s="96">
        <f>'ATTIVO PATR'!E12-'ATTIVO PATR'!L12-'ATTIVO PATR'!O12-'ATTIVO PATR'!R12-'ATTIVO PATR'!U12-'ATTIVO PATR'!X12-'ATTIVO PATR'!AA12</f>
        <v>0</v>
      </c>
      <c r="F12" s="97">
        <f>'ATTIVO PATR'!F12-'ATTIVO PATR'!M12-'ATTIVO PATR'!N12</f>
        <v>0</v>
      </c>
      <c r="G12" s="97">
        <f>'ATTIVO PATR'!G12-'ATTIVO PATR'!P12-'ATTIVO PATR'!Q12</f>
        <v>70780.090000003576</v>
      </c>
      <c r="H12" s="97">
        <f>'ATTIVO PATR'!H12-'ATTIVO PATR'!S12-'ATTIVO PATR'!T12-'ATTIVO PATR'!AI12-'ATTIVO PATR'!AE12-'ATTIVO PATR'!AG12</f>
        <v>0</v>
      </c>
      <c r="I12" s="97">
        <f>'ATTIVO PATR'!I12-'ATTIVO PATR'!V12-'ATTIVO PATR'!W12-'ATTIVO PATR'!AH12</f>
        <v>0</v>
      </c>
      <c r="J12" s="97">
        <f>'ATTIVO PATR'!J12-'ATTIVO PATR'!Y12-'ATTIVO PATR'!Z12-'ATTIVO PATR'!AD12</f>
        <v>0</v>
      </c>
      <c r="K12" s="97">
        <f>'ATTIVO PATR'!K12-'ATTIVO PATR'!AB12-'ATTIVO PATR'!AC12-'ATTIVO PATR'!AF12</f>
        <v>0</v>
      </c>
      <c r="L12" s="257">
        <f t="shared" si="1"/>
        <v>70780.090000003576</v>
      </c>
    </row>
    <row r="13" spans="1:12" x14ac:dyDescent="0.2">
      <c r="A13" s="93"/>
      <c r="B13" s="94">
        <v>9</v>
      </c>
      <c r="C13" s="95"/>
      <c r="D13" s="12" t="s">
        <v>22</v>
      </c>
      <c r="E13" s="96">
        <f>'ATTIVO PATR'!E13-'ATTIVO PATR'!L13-'ATTIVO PATR'!O13-'ATTIVO PATR'!R13-'ATTIVO PATR'!U13-'ATTIVO PATR'!X13-'ATTIVO PATR'!AA13</f>
        <v>314876.09427520714</v>
      </c>
      <c r="F13" s="97">
        <f>'ATTIVO PATR'!F13-'ATTIVO PATR'!M13-'ATTIVO PATR'!N13</f>
        <v>0</v>
      </c>
      <c r="G13" s="97">
        <f>'ATTIVO PATR'!G13-'ATTIVO PATR'!P13-'ATTIVO PATR'!Q13</f>
        <v>142732.77000001073</v>
      </c>
      <c r="H13" s="97">
        <f>'ATTIVO PATR'!H13-'ATTIVO PATR'!S13-'ATTIVO PATR'!T13-'ATTIVO PATR'!AI13-'ATTIVO PATR'!AE13-'ATTIVO PATR'!AG13</f>
        <v>12298.200000000012</v>
      </c>
      <c r="I13" s="97">
        <f>'ATTIVO PATR'!I13-'ATTIVO PATR'!V13-'ATTIVO PATR'!W13-'ATTIVO PATR'!AH13</f>
        <v>0</v>
      </c>
      <c r="J13" s="97">
        <f>'ATTIVO PATR'!J13-'ATTIVO PATR'!Y13-'ATTIVO PATR'!Z13-'ATTIVO PATR'!AD13</f>
        <v>46034.900000000023</v>
      </c>
      <c r="K13" s="97">
        <f>'ATTIVO PATR'!K13-'ATTIVO PATR'!AB13-'ATTIVO PATR'!AC13-'ATTIVO PATR'!AF13</f>
        <v>0</v>
      </c>
      <c r="L13" s="257">
        <f t="shared" si="1"/>
        <v>515941.96427521791</v>
      </c>
    </row>
    <row r="14" spans="1:12" x14ac:dyDescent="0.2">
      <c r="A14" s="106"/>
      <c r="B14" s="107"/>
      <c r="C14" s="108"/>
      <c r="D14" s="73" t="s">
        <v>176</v>
      </c>
      <c r="E14" s="109">
        <f>SUM(E7:E13)</f>
        <v>314876.09427520714</v>
      </c>
      <c r="F14" s="109">
        <f t="shared" ref="F14:L14" si="2">SUM(F7:F13)</f>
        <v>0</v>
      </c>
      <c r="G14" s="109">
        <f t="shared" si="2"/>
        <v>243923.19000001252</v>
      </c>
      <c r="H14" s="109">
        <f t="shared" si="2"/>
        <v>12944.400000000012</v>
      </c>
      <c r="I14" s="109">
        <f t="shared" si="2"/>
        <v>9.0000000000145519E-2</v>
      </c>
      <c r="J14" s="109">
        <f t="shared" si="2"/>
        <v>46916.60000000002</v>
      </c>
      <c r="K14" s="109">
        <f t="shared" si="2"/>
        <v>0</v>
      </c>
      <c r="L14" s="273">
        <f t="shared" si="2"/>
        <v>618660.37427521974</v>
      </c>
    </row>
    <row r="15" spans="1:12" x14ac:dyDescent="0.2">
      <c r="A15" s="93"/>
      <c r="B15" s="94"/>
      <c r="C15" s="95"/>
      <c r="D15" s="41"/>
      <c r="E15" s="102"/>
      <c r="F15" s="103"/>
      <c r="G15" s="103"/>
      <c r="H15" s="103"/>
      <c r="I15" s="103"/>
      <c r="J15" s="103"/>
      <c r="K15" s="103"/>
      <c r="L15" s="257"/>
    </row>
    <row r="16" spans="1:12" x14ac:dyDescent="0.2">
      <c r="A16" s="111"/>
      <c r="B16" s="112"/>
      <c r="C16" s="113"/>
      <c r="D16" s="49" t="s">
        <v>91</v>
      </c>
      <c r="E16" s="102"/>
      <c r="F16" s="103"/>
      <c r="G16" s="103"/>
      <c r="H16" s="103"/>
      <c r="I16" s="103"/>
      <c r="J16" s="103"/>
      <c r="K16" s="103"/>
      <c r="L16" s="257"/>
    </row>
    <row r="17" spans="1:12" x14ac:dyDescent="0.2">
      <c r="A17" s="111" t="s">
        <v>42</v>
      </c>
      <c r="B17" s="112">
        <v>1</v>
      </c>
      <c r="C17" s="113"/>
      <c r="D17" s="12" t="s">
        <v>90</v>
      </c>
      <c r="E17" s="96">
        <f>'ATTIVO PATR'!E17-'ATTIVO PATR'!L17-'ATTIVO PATR'!O17-'ATTIVO PATR'!R17-'ATTIVO PATR'!U17-'ATTIVO PATR'!X17-'ATTIVO PATR'!AA17</f>
        <v>19705695.739999998</v>
      </c>
      <c r="F17" s="97">
        <f>'ATTIVO PATR'!F17-'ATTIVO PATR'!M17-'ATTIVO PATR'!N17</f>
        <v>0</v>
      </c>
      <c r="G17" s="97">
        <f>'ATTIVO PATR'!G17-'ATTIVO PATR'!P17-'ATTIVO PATR'!Q17</f>
        <v>0</v>
      </c>
      <c r="H17" s="97">
        <f>'ATTIVO PATR'!H17-'ATTIVO PATR'!S17-'ATTIVO PATR'!T17-'ATTIVO PATR'!AI17-'ATTIVO PATR'!AE17-'ATTIVO PATR'!AG17</f>
        <v>0</v>
      </c>
      <c r="I17" s="97">
        <f>'ATTIVO PATR'!I17-'ATTIVO PATR'!V17-'ATTIVO PATR'!W17-'ATTIVO PATR'!AH17</f>
        <v>0</v>
      </c>
      <c r="J17" s="97">
        <f>'ATTIVO PATR'!J17-'ATTIVO PATR'!Y17-'ATTIVO PATR'!Z17-'ATTIVO PATR'!AD17</f>
        <v>0</v>
      </c>
      <c r="K17" s="97">
        <f>'ATTIVO PATR'!K17-'ATTIVO PATR'!AB17-'ATTIVO PATR'!AC17-'ATTIVO PATR'!AF17</f>
        <v>0</v>
      </c>
      <c r="L17" s="257">
        <f>SUM(E17:K17)</f>
        <v>19705695.739999998</v>
      </c>
    </row>
    <row r="18" spans="1:12" x14ac:dyDescent="0.2">
      <c r="A18" s="111"/>
      <c r="B18" s="112" t="s">
        <v>194</v>
      </c>
      <c r="C18" s="113"/>
      <c r="D18" s="12" t="s">
        <v>134</v>
      </c>
      <c r="E18" s="96">
        <f>'ATTIVO PATR'!E18-'ATTIVO PATR'!L18-'ATTIVO PATR'!O18-'ATTIVO PATR'!R18-'ATTIVO PATR'!U18-'ATTIVO PATR'!X18-'ATTIVO PATR'!AA18</f>
        <v>182972.28</v>
      </c>
      <c r="F18" s="97">
        <f>'ATTIVO PATR'!F18-'ATTIVO PATR'!M18-'ATTIVO PATR'!N18</f>
        <v>0</v>
      </c>
      <c r="G18" s="97">
        <f>'ATTIVO PATR'!G18-'ATTIVO PATR'!P18-'ATTIVO PATR'!Q18</f>
        <v>0</v>
      </c>
      <c r="H18" s="97">
        <f>'ATTIVO PATR'!H18-'ATTIVO PATR'!S18-'ATTIVO PATR'!T18-'ATTIVO PATR'!AI18-'ATTIVO PATR'!AE18-'ATTIVO PATR'!AG18</f>
        <v>0</v>
      </c>
      <c r="I18" s="97">
        <f>'ATTIVO PATR'!I18-'ATTIVO PATR'!V18-'ATTIVO PATR'!W18-'ATTIVO PATR'!AH18</f>
        <v>0</v>
      </c>
      <c r="J18" s="97">
        <f>'ATTIVO PATR'!J18-'ATTIVO PATR'!Y18-'ATTIVO PATR'!Z18-'ATTIVO PATR'!AD18</f>
        <v>0</v>
      </c>
      <c r="K18" s="97">
        <f>'ATTIVO PATR'!K18-'ATTIVO PATR'!AB18-'ATTIVO PATR'!AC18-'ATTIVO PATR'!AF18</f>
        <v>0</v>
      </c>
      <c r="L18" s="257">
        <f t="shared" ref="L18:L35" si="3">SUM(E18:K18)</f>
        <v>182972.28</v>
      </c>
    </row>
    <row r="19" spans="1:12" x14ac:dyDescent="0.2">
      <c r="A19" s="111"/>
      <c r="B19" s="112" t="s">
        <v>195</v>
      </c>
      <c r="C19" s="113"/>
      <c r="D19" s="12" t="s">
        <v>133</v>
      </c>
      <c r="E19" s="96">
        <f>'ATTIVO PATR'!E19-'ATTIVO PATR'!L19-'ATTIVO PATR'!O19-'ATTIVO PATR'!R19-'ATTIVO PATR'!U19-'ATTIVO PATR'!X19-'ATTIVO PATR'!AA19</f>
        <v>1126802.97</v>
      </c>
      <c r="F19" s="97">
        <f>'ATTIVO PATR'!F19-'ATTIVO PATR'!M19-'ATTIVO PATR'!N19</f>
        <v>0</v>
      </c>
      <c r="G19" s="97">
        <f>'ATTIVO PATR'!G19-'ATTIVO PATR'!P19-'ATTIVO PATR'!Q19</f>
        <v>0</v>
      </c>
      <c r="H19" s="97">
        <f>'ATTIVO PATR'!H19-'ATTIVO PATR'!S19-'ATTIVO PATR'!T19-'ATTIVO PATR'!AI19-'ATTIVO PATR'!AE19-'ATTIVO PATR'!AG19</f>
        <v>0</v>
      </c>
      <c r="I19" s="97">
        <f>'ATTIVO PATR'!I19-'ATTIVO PATR'!V19-'ATTIVO PATR'!W19-'ATTIVO PATR'!AH19</f>
        <v>0</v>
      </c>
      <c r="J19" s="97">
        <f>'ATTIVO PATR'!J19-'ATTIVO PATR'!Y19-'ATTIVO PATR'!Z19-'ATTIVO PATR'!AD19</f>
        <v>0</v>
      </c>
      <c r="K19" s="97">
        <f>'ATTIVO PATR'!K19-'ATTIVO PATR'!AB19-'ATTIVO PATR'!AC19-'ATTIVO PATR'!AF19</f>
        <v>0</v>
      </c>
      <c r="L19" s="257">
        <f t="shared" si="3"/>
        <v>1126802.97</v>
      </c>
    </row>
    <row r="20" spans="1:12" x14ac:dyDescent="0.2">
      <c r="A20" s="114"/>
      <c r="B20" s="112" t="s">
        <v>196</v>
      </c>
      <c r="C20" s="115"/>
      <c r="D20" s="74" t="s">
        <v>177</v>
      </c>
      <c r="E20" s="96">
        <f>'ATTIVO PATR'!E20-'ATTIVO PATR'!L20-'ATTIVO PATR'!O20-'ATTIVO PATR'!R20-'ATTIVO PATR'!U20-'ATTIVO PATR'!X20-'ATTIVO PATR'!AA20</f>
        <v>18395920.489999998</v>
      </c>
      <c r="F20" s="97">
        <f>'ATTIVO PATR'!F20-'ATTIVO PATR'!M20-'ATTIVO PATR'!N20</f>
        <v>0</v>
      </c>
      <c r="G20" s="97">
        <f>'ATTIVO PATR'!G20-'ATTIVO PATR'!P20-'ATTIVO PATR'!Q20</f>
        <v>0</v>
      </c>
      <c r="H20" s="97">
        <f>'ATTIVO PATR'!H20-'ATTIVO PATR'!S20-'ATTIVO PATR'!T20-'ATTIVO PATR'!AI20-'ATTIVO PATR'!AE20-'ATTIVO PATR'!AG20</f>
        <v>0</v>
      </c>
      <c r="I20" s="97">
        <f>'ATTIVO PATR'!I20-'ATTIVO PATR'!V20-'ATTIVO PATR'!W20-'ATTIVO PATR'!AH20</f>
        <v>0</v>
      </c>
      <c r="J20" s="97">
        <f>'ATTIVO PATR'!J20-'ATTIVO PATR'!Y20-'ATTIVO PATR'!Z20-'ATTIVO PATR'!AD20</f>
        <v>0</v>
      </c>
      <c r="K20" s="97">
        <f>'ATTIVO PATR'!K20-'ATTIVO PATR'!AB20-'ATTIVO PATR'!AC20-'ATTIVO PATR'!AF20</f>
        <v>0</v>
      </c>
      <c r="L20" s="257">
        <f t="shared" si="3"/>
        <v>18395920.489999998</v>
      </c>
    </row>
    <row r="21" spans="1:12" x14ac:dyDescent="0.2">
      <c r="A21" s="111"/>
      <c r="B21" s="112" t="s">
        <v>197</v>
      </c>
      <c r="C21" s="113"/>
      <c r="D21" s="12" t="s">
        <v>135</v>
      </c>
      <c r="E21" s="96">
        <f>'ATTIVO PATR'!E21-'ATTIVO PATR'!L21-'ATTIVO PATR'!O21-'ATTIVO PATR'!R21-'ATTIVO PATR'!U21-'ATTIVO PATR'!X21-'ATTIVO PATR'!AA21</f>
        <v>0</v>
      </c>
      <c r="F21" s="97">
        <f>'ATTIVO PATR'!F21-'ATTIVO PATR'!M21-'ATTIVO PATR'!N21</f>
        <v>0</v>
      </c>
      <c r="G21" s="97">
        <f>'ATTIVO PATR'!G21-'ATTIVO PATR'!P21-'ATTIVO PATR'!Q21</f>
        <v>0</v>
      </c>
      <c r="H21" s="97">
        <f>'ATTIVO PATR'!H21-'ATTIVO PATR'!S21-'ATTIVO PATR'!T21-'ATTIVO PATR'!AI21-'ATTIVO PATR'!AE21-'ATTIVO PATR'!AG21</f>
        <v>0</v>
      </c>
      <c r="I21" s="97">
        <f>'ATTIVO PATR'!I21-'ATTIVO PATR'!V21-'ATTIVO PATR'!W21-'ATTIVO PATR'!AH21</f>
        <v>0</v>
      </c>
      <c r="J21" s="97">
        <f>'ATTIVO PATR'!J21-'ATTIVO PATR'!Y21-'ATTIVO PATR'!Z21-'ATTIVO PATR'!AD21</f>
        <v>0</v>
      </c>
      <c r="K21" s="97">
        <f>'ATTIVO PATR'!K21-'ATTIVO PATR'!AB21-'ATTIVO PATR'!AC21-'ATTIVO PATR'!AF21</f>
        <v>0</v>
      </c>
      <c r="L21" s="257">
        <f t="shared" si="3"/>
        <v>0</v>
      </c>
    </row>
    <row r="22" spans="1:12" x14ac:dyDescent="0.2">
      <c r="A22" s="111" t="s">
        <v>44</v>
      </c>
      <c r="B22" s="112">
        <v>2</v>
      </c>
      <c r="C22" s="113"/>
      <c r="D22" s="12" t="s">
        <v>131</v>
      </c>
      <c r="E22" s="96">
        <f>'ATTIVO PATR'!E22-'ATTIVO PATR'!L22-'ATTIVO PATR'!O22-'ATTIVO PATR'!R22-'ATTIVO PATR'!U22-'ATTIVO PATR'!X22-'ATTIVO PATR'!AA22</f>
        <v>16376339.16</v>
      </c>
      <c r="F22" s="97">
        <f>'ATTIVO PATR'!F22-'ATTIVO PATR'!M22-'ATTIVO PATR'!N22</f>
        <v>0</v>
      </c>
      <c r="G22" s="97">
        <f>'ATTIVO PATR'!G22-'ATTIVO PATR'!P22-'ATTIVO PATR'!Q22</f>
        <v>34265.739999994636</v>
      </c>
      <c r="H22" s="97">
        <f>'ATTIVO PATR'!H22-'ATTIVO PATR'!S22-'ATTIVO PATR'!T22-'ATTIVO PATR'!AI22-'ATTIVO PATR'!AE22-'ATTIVO PATR'!AG22</f>
        <v>2499989.0000000075</v>
      </c>
      <c r="I22" s="97">
        <f>'ATTIVO PATR'!I22-'ATTIVO PATR'!V22-'ATTIVO PATR'!W22-'ATTIVO PATR'!AH22</f>
        <v>0.37999999999919964</v>
      </c>
      <c r="J22" s="97">
        <f>'ATTIVO PATR'!J22-'ATTIVO PATR'!Y22-'ATTIVO PATR'!Z22-'ATTIVO PATR'!AD22</f>
        <v>15961.150000000023</v>
      </c>
      <c r="K22" s="97">
        <f>'ATTIVO PATR'!K22-'ATTIVO PATR'!AB22-'ATTIVO PATR'!AC22-'ATTIVO PATR'!AF22</f>
        <v>0</v>
      </c>
      <c r="L22" s="257">
        <f t="shared" si="3"/>
        <v>18926555.43</v>
      </c>
    </row>
    <row r="23" spans="1:12" x14ac:dyDescent="0.2">
      <c r="A23" s="111"/>
      <c r="B23" s="112" t="s">
        <v>198</v>
      </c>
      <c r="C23" s="113"/>
      <c r="D23" s="12" t="s">
        <v>132</v>
      </c>
      <c r="E23" s="96">
        <f>'ATTIVO PATR'!E23-'ATTIVO PATR'!L23-'ATTIVO PATR'!O23-'ATTIVO PATR'!R23-'ATTIVO PATR'!U23-'ATTIVO PATR'!X23-'ATTIVO PATR'!AA23</f>
        <v>4253427.32</v>
      </c>
      <c r="F23" s="97">
        <f>'ATTIVO PATR'!F23-'ATTIVO PATR'!M23-'ATTIVO PATR'!N23</f>
        <v>0</v>
      </c>
      <c r="G23" s="97">
        <f>'ATTIVO PATR'!G23-'ATTIVO PATR'!P23-'ATTIVO PATR'!Q23</f>
        <v>1797.5400000000373</v>
      </c>
      <c r="H23" s="97">
        <f>'ATTIVO PATR'!H23-'ATTIVO PATR'!S23-'ATTIVO PATR'!T23-'ATTIVO PATR'!AI23-'ATTIVO PATR'!AE23-'ATTIVO PATR'!AG23</f>
        <v>701153.80000000075</v>
      </c>
      <c r="I23" s="97">
        <f>'ATTIVO PATR'!I23-'ATTIVO PATR'!V23-'ATTIVO PATR'!W23-'ATTIVO PATR'!AH23</f>
        <v>0</v>
      </c>
      <c r="J23" s="97">
        <f>'ATTIVO PATR'!J23-'ATTIVO PATR'!Y23-'ATTIVO PATR'!Z23-'ATTIVO PATR'!AD23</f>
        <v>0</v>
      </c>
      <c r="K23" s="97">
        <f>'ATTIVO PATR'!K23-'ATTIVO PATR'!AB23-'ATTIVO PATR'!AC23-'ATTIVO PATR'!AF23</f>
        <v>0</v>
      </c>
      <c r="L23" s="257">
        <f t="shared" si="3"/>
        <v>4956378.6600000011</v>
      </c>
    </row>
    <row r="24" spans="1:12" x14ac:dyDescent="0.2">
      <c r="A24" s="111"/>
      <c r="B24" s="112"/>
      <c r="C24" s="113" t="s">
        <v>29</v>
      </c>
      <c r="D24" s="50" t="s">
        <v>140</v>
      </c>
      <c r="E24" s="96">
        <f>'ATTIVO PATR'!E24-'ATTIVO PATR'!L24-'ATTIVO PATR'!O24-'ATTIVO PATR'!R24-'ATTIVO PATR'!U24-'ATTIVO PATR'!X24-'ATTIVO PATR'!AA24</f>
        <v>0</v>
      </c>
      <c r="F24" s="97">
        <f>'ATTIVO PATR'!F24-'ATTIVO PATR'!M24-'ATTIVO PATR'!N24</f>
        <v>0</v>
      </c>
      <c r="G24" s="97">
        <f>'ATTIVO PATR'!G24-'ATTIVO PATR'!P24-'ATTIVO PATR'!Q24</f>
        <v>0</v>
      </c>
      <c r="H24" s="97">
        <f>'ATTIVO PATR'!H24-'ATTIVO PATR'!S24-'ATTIVO PATR'!T24-'ATTIVO PATR'!AI24-'ATTIVO PATR'!AE24-'ATTIVO PATR'!AG24</f>
        <v>0</v>
      </c>
      <c r="I24" s="97">
        <f>'ATTIVO PATR'!I24-'ATTIVO PATR'!V24-'ATTIVO PATR'!W24-'ATTIVO PATR'!AH24</f>
        <v>0</v>
      </c>
      <c r="J24" s="97">
        <f>'ATTIVO PATR'!J24-'ATTIVO PATR'!Y24-'ATTIVO PATR'!Z24-'ATTIVO PATR'!AD24</f>
        <v>0</v>
      </c>
      <c r="K24" s="97">
        <f>'ATTIVO PATR'!K24-'ATTIVO PATR'!AB24-'ATTIVO PATR'!AC24-'ATTIVO PATR'!AF24</f>
        <v>0</v>
      </c>
      <c r="L24" s="257">
        <f t="shared" si="3"/>
        <v>0</v>
      </c>
    </row>
    <row r="25" spans="1:12" x14ac:dyDescent="0.2">
      <c r="A25" s="111"/>
      <c r="B25" s="112" t="s">
        <v>199</v>
      </c>
      <c r="C25" s="113"/>
      <c r="D25" s="12" t="s">
        <v>133</v>
      </c>
      <c r="E25" s="96">
        <f>'ATTIVO PATR'!E25-'ATTIVO PATR'!L25-'ATTIVO PATR'!O25-'ATTIVO PATR'!R25-'ATTIVO PATR'!U25-'ATTIVO PATR'!X25-'ATTIVO PATR'!AA25</f>
        <v>12039002.970000001</v>
      </c>
      <c r="F25" s="97">
        <f>'ATTIVO PATR'!F25-'ATTIVO PATR'!M25-'ATTIVO PATR'!N25</f>
        <v>0</v>
      </c>
      <c r="G25" s="97">
        <f>'ATTIVO PATR'!G25-'ATTIVO PATR'!P25-'ATTIVO PATR'!Q25</f>
        <v>3350.3799999998882</v>
      </c>
      <c r="H25" s="97">
        <f>'ATTIVO PATR'!H25-'ATTIVO PATR'!S25-'ATTIVO PATR'!T25-'ATTIVO PATR'!AI25-'ATTIVO PATR'!AE25-'ATTIVO PATR'!AG25</f>
        <v>171124.75</v>
      </c>
      <c r="I25" s="97">
        <f>'ATTIVO PATR'!I25-'ATTIVO PATR'!V25-'ATTIVO PATR'!W25-'ATTIVO PATR'!AH25</f>
        <v>0</v>
      </c>
      <c r="J25" s="97">
        <f>'ATTIVO PATR'!J25-'ATTIVO PATR'!Y25-'ATTIVO PATR'!Z25-'ATTIVO PATR'!AD25</f>
        <v>411.69999999999982</v>
      </c>
      <c r="K25" s="97">
        <f>'ATTIVO PATR'!K25-'ATTIVO PATR'!AB25-'ATTIVO PATR'!AC25-'ATTIVO PATR'!AF25</f>
        <v>0</v>
      </c>
      <c r="L25" s="257">
        <f t="shared" si="3"/>
        <v>12213889.800000001</v>
      </c>
    </row>
    <row r="26" spans="1:12" x14ac:dyDescent="0.2">
      <c r="A26" s="111"/>
      <c r="B26" s="112"/>
      <c r="C26" s="113" t="s">
        <v>29</v>
      </c>
      <c r="D26" s="50" t="s">
        <v>140</v>
      </c>
      <c r="E26" s="96">
        <f>'ATTIVO PATR'!E26-'ATTIVO PATR'!L26-'ATTIVO PATR'!O26-'ATTIVO PATR'!R26-'ATTIVO PATR'!U26-'ATTIVO PATR'!X26-'ATTIVO PATR'!AA26</f>
        <v>0</v>
      </c>
      <c r="F26" s="97">
        <f>'ATTIVO PATR'!F26-'ATTIVO PATR'!M26-'ATTIVO PATR'!N26</f>
        <v>0</v>
      </c>
      <c r="G26" s="97">
        <f>'ATTIVO PATR'!G26-'ATTIVO PATR'!P26-'ATTIVO PATR'!Q26</f>
        <v>0</v>
      </c>
      <c r="H26" s="97">
        <f>'ATTIVO PATR'!H26-'ATTIVO PATR'!S26-'ATTIVO PATR'!T26-'ATTIVO PATR'!AI26-'ATTIVO PATR'!AE26-'ATTIVO PATR'!AG26</f>
        <v>0</v>
      </c>
      <c r="I26" s="97">
        <f>'ATTIVO PATR'!I26-'ATTIVO PATR'!V26-'ATTIVO PATR'!W26-'ATTIVO PATR'!AH26</f>
        <v>0</v>
      </c>
      <c r="J26" s="97">
        <f>'ATTIVO PATR'!J26-'ATTIVO PATR'!Y26-'ATTIVO PATR'!Z26-'ATTIVO PATR'!AD26</f>
        <v>0</v>
      </c>
      <c r="K26" s="97">
        <f>'ATTIVO PATR'!K26-'ATTIVO PATR'!AB26-'ATTIVO PATR'!AC26-'ATTIVO PATR'!AF26</f>
        <v>0</v>
      </c>
      <c r="L26" s="257">
        <f t="shared" si="3"/>
        <v>0</v>
      </c>
    </row>
    <row r="27" spans="1:12" x14ac:dyDescent="0.2">
      <c r="A27" s="111"/>
      <c r="B27" s="112" t="s">
        <v>200</v>
      </c>
      <c r="C27" s="113"/>
      <c r="D27" s="12" t="s">
        <v>23</v>
      </c>
      <c r="E27" s="96">
        <f>'ATTIVO PATR'!E27-'ATTIVO PATR'!L27-'ATTIVO PATR'!O27-'ATTIVO PATR'!R27-'ATTIVO PATR'!U27-'ATTIVO PATR'!X27-'ATTIVO PATR'!AA27</f>
        <v>41.25</v>
      </c>
      <c r="F27" s="97">
        <f>'ATTIVO PATR'!F27-'ATTIVO PATR'!M27-'ATTIVO PATR'!N27</f>
        <v>0</v>
      </c>
      <c r="G27" s="97">
        <f>'ATTIVO PATR'!G27-'ATTIVO PATR'!P27-'ATTIVO PATR'!Q27</f>
        <v>17260.949999999255</v>
      </c>
      <c r="H27" s="97">
        <f>'ATTIVO PATR'!H27-'ATTIVO PATR'!S27-'ATTIVO PATR'!T27-'ATTIVO PATR'!AI27-'ATTIVO PATR'!AE27-'ATTIVO PATR'!AG27</f>
        <v>1620272.8500000015</v>
      </c>
      <c r="I27" s="97">
        <f>'ATTIVO PATR'!I27-'ATTIVO PATR'!V27-'ATTIVO PATR'!W27-'ATTIVO PATR'!AH27</f>
        <v>0</v>
      </c>
      <c r="J27" s="97">
        <f>'ATTIVO PATR'!J27-'ATTIVO PATR'!Y27-'ATTIVO PATR'!Z27-'ATTIVO PATR'!AD27</f>
        <v>2269.3000000000029</v>
      </c>
      <c r="K27" s="97">
        <f>'ATTIVO PATR'!K27-'ATTIVO PATR'!AB27-'ATTIVO PATR'!AC27-'ATTIVO PATR'!AF27</f>
        <v>0</v>
      </c>
      <c r="L27" s="257">
        <f t="shared" si="3"/>
        <v>1639844.3500000008</v>
      </c>
    </row>
    <row r="28" spans="1:12" x14ac:dyDescent="0.2">
      <c r="A28" s="111"/>
      <c r="B28" s="112"/>
      <c r="C28" s="113" t="s">
        <v>29</v>
      </c>
      <c r="D28" s="50" t="s">
        <v>140</v>
      </c>
      <c r="E28" s="96">
        <f>'ATTIVO PATR'!E28-'ATTIVO PATR'!L28-'ATTIVO PATR'!O28-'ATTIVO PATR'!R28-'ATTIVO PATR'!U28-'ATTIVO PATR'!X28-'ATTIVO PATR'!AA28</f>
        <v>0</v>
      </c>
      <c r="F28" s="97">
        <f>'ATTIVO PATR'!F28-'ATTIVO PATR'!M28-'ATTIVO PATR'!N28</f>
        <v>0</v>
      </c>
      <c r="G28" s="97">
        <f>'ATTIVO PATR'!G28-'ATTIVO PATR'!P28-'ATTIVO PATR'!Q28</f>
        <v>0</v>
      </c>
      <c r="H28" s="97">
        <f>'ATTIVO PATR'!H28-'ATTIVO PATR'!S28-'ATTIVO PATR'!T28-'ATTIVO PATR'!AI28-'ATTIVO PATR'!AE28-'ATTIVO PATR'!AG28</f>
        <v>0</v>
      </c>
      <c r="I28" s="97">
        <f>'ATTIVO PATR'!I28-'ATTIVO PATR'!V28-'ATTIVO PATR'!W28-'ATTIVO PATR'!AH28</f>
        <v>0</v>
      </c>
      <c r="J28" s="97">
        <f>'ATTIVO PATR'!J28-'ATTIVO PATR'!Y28-'ATTIVO PATR'!Z28-'ATTIVO PATR'!AD28</f>
        <v>0</v>
      </c>
      <c r="K28" s="97">
        <f>'ATTIVO PATR'!K28-'ATTIVO PATR'!AB28-'ATTIVO PATR'!AC28-'ATTIVO PATR'!AF28</f>
        <v>0</v>
      </c>
      <c r="L28" s="257">
        <f t="shared" si="3"/>
        <v>0</v>
      </c>
    </row>
    <row r="29" spans="1:12" x14ac:dyDescent="0.2">
      <c r="A29" s="111"/>
      <c r="B29" s="112" t="s">
        <v>201</v>
      </c>
      <c r="C29" s="113"/>
      <c r="D29" s="12" t="s">
        <v>75</v>
      </c>
      <c r="E29" s="96">
        <f>'ATTIVO PATR'!E29-'ATTIVO PATR'!L29-'ATTIVO PATR'!O29-'ATTIVO PATR'!R29-'ATTIVO PATR'!U29-'ATTIVO PATR'!X29-'ATTIVO PATR'!AA29</f>
        <v>28282.41</v>
      </c>
      <c r="F29" s="97">
        <f>'ATTIVO PATR'!F29-'ATTIVO PATR'!M29-'ATTIVO PATR'!N29</f>
        <v>0</v>
      </c>
      <c r="G29" s="97">
        <f>'ATTIVO PATR'!G29-'ATTIVO PATR'!P29-'ATTIVO PATR'!Q29</f>
        <v>10984.650000000373</v>
      </c>
      <c r="H29" s="97">
        <f>'ATTIVO PATR'!H29-'ATTIVO PATR'!S29-'ATTIVO PATR'!T29-'ATTIVO PATR'!AI29-'ATTIVO PATR'!AE29-'ATTIVO PATR'!AG29</f>
        <v>0</v>
      </c>
      <c r="I29" s="97">
        <f>'ATTIVO PATR'!I29-'ATTIVO PATR'!V29-'ATTIVO PATR'!W29-'ATTIVO PATR'!AH29</f>
        <v>0</v>
      </c>
      <c r="J29" s="97">
        <f>'ATTIVO PATR'!J29-'ATTIVO PATR'!Y29-'ATTIVO PATR'!Z29-'ATTIVO PATR'!AD29</f>
        <v>13280.149999999994</v>
      </c>
      <c r="K29" s="97">
        <f>'ATTIVO PATR'!K29-'ATTIVO PATR'!AB29-'ATTIVO PATR'!AC29-'ATTIVO PATR'!AF29</f>
        <v>0</v>
      </c>
      <c r="L29" s="257">
        <f t="shared" si="3"/>
        <v>52547.21000000037</v>
      </c>
    </row>
    <row r="30" spans="1:12" x14ac:dyDescent="0.2">
      <c r="A30" s="118"/>
      <c r="B30" s="112" t="s">
        <v>202</v>
      </c>
      <c r="C30" s="113"/>
      <c r="D30" s="12" t="s">
        <v>139</v>
      </c>
      <c r="E30" s="96">
        <f>'ATTIVO PATR'!E30-'ATTIVO PATR'!L30-'ATTIVO PATR'!O30-'ATTIVO PATR'!R30-'ATTIVO PATR'!U30-'ATTIVO PATR'!X30-'ATTIVO PATR'!AA30</f>
        <v>1317.6</v>
      </c>
      <c r="F30" s="97">
        <f>'ATTIVO PATR'!F30-'ATTIVO PATR'!M30-'ATTIVO PATR'!N30</f>
        <v>0</v>
      </c>
      <c r="G30" s="97">
        <f>'ATTIVO PATR'!G30-'ATTIVO PATR'!P30-'ATTIVO PATR'!Q30</f>
        <v>190.27999999999884</v>
      </c>
      <c r="H30" s="97">
        <f>'ATTIVO PATR'!H30-'ATTIVO PATR'!S30-'ATTIVO PATR'!T30-'ATTIVO PATR'!AI30-'ATTIVO PATR'!AE30-'ATTIVO PATR'!AG30</f>
        <v>0</v>
      </c>
      <c r="I30" s="97">
        <f>'ATTIVO PATR'!I30-'ATTIVO PATR'!V30-'ATTIVO PATR'!W30-'ATTIVO PATR'!AH30</f>
        <v>0</v>
      </c>
      <c r="J30" s="97">
        <f>'ATTIVO PATR'!J30-'ATTIVO PATR'!Y30-'ATTIVO PATR'!Z30-'ATTIVO PATR'!AD30</f>
        <v>0</v>
      </c>
      <c r="K30" s="97">
        <f>'ATTIVO PATR'!K30-'ATTIVO PATR'!AB30-'ATTIVO PATR'!AC30-'ATTIVO PATR'!AF30</f>
        <v>0</v>
      </c>
      <c r="L30" s="257">
        <f t="shared" si="3"/>
        <v>1507.8799999999987</v>
      </c>
    </row>
    <row r="31" spans="1:12" x14ac:dyDescent="0.2">
      <c r="A31" s="118"/>
      <c r="B31" s="112" t="s">
        <v>203</v>
      </c>
      <c r="C31" s="113"/>
      <c r="D31" s="12" t="s">
        <v>136</v>
      </c>
      <c r="E31" s="96">
        <f>'ATTIVO PATR'!E31-'ATTIVO PATR'!L31-'ATTIVO PATR'!O31-'ATTIVO PATR'!R31-'ATTIVO PATR'!U31-'ATTIVO PATR'!X31-'ATTIVO PATR'!AA31</f>
        <v>15475.27</v>
      </c>
      <c r="F31" s="97">
        <f>'ATTIVO PATR'!F31-'ATTIVO PATR'!M31-'ATTIVO PATR'!N31</f>
        <v>0</v>
      </c>
      <c r="G31" s="97">
        <f>'ATTIVO PATR'!G31-'ATTIVO PATR'!P31-'ATTIVO PATR'!Q31</f>
        <v>335.15000000002328</v>
      </c>
      <c r="H31" s="97">
        <f>'ATTIVO PATR'!H31-'ATTIVO PATR'!S31-'ATTIVO PATR'!T31-'ATTIVO PATR'!AI31-'ATTIVO PATR'!AE31-'ATTIVO PATR'!AG31</f>
        <v>0</v>
      </c>
      <c r="I31" s="97">
        <f>'ATTIVO PATR'!I31-'ATTIVO PATR'!V31-'ATTIVO PATR'!W31-'ATTIVO PATR'!AH31</f>
        <v>0.31999999999970896</v>
      </c>
      <c r="J31" s="97">
        <f>'ATTIVO PATR'!J31-'ATTIVO PATR'!Y31-'ATTIVO PATR'!Z31-'ATTIVO PATR'!AD31</f>
        <v>0</v>
      </c>
      <c r="K31" s="97">
        <f>'ATTIVO PATR'!K31-'ATTIVO PATR'!AB31-'ATTIVO PATR'!AC31-'ATTIVO PATR'!AF31</f>
        <v>0</v>
      </c>
      <c r="L31" s="257">
        <f t="shared" si="3"/>
        <v>15810.740000000023</v>
      </c>
    </row>
    <row r="32" spans="1:12" x14ac:dyDescent="0.2">
      <c r="A32" s="118"/>
      <c r="B32" s="112" t="s">
        <v>204</v>
      </c>
      <c r="C32" s="113"/>
      <c r="D32" s="12" t="s">
        <v>137</v>
      </c>
      <c r="E32" s="96">
        <f>'ATTIVO PATR'!E32-'ATTIVO PATR'!L32-'ATTIVO PATR'!O32-'ATTIVO PATR'!R32-'ATTIVO PATR'!U32-'ATTIVO PATR'!X32-'ATTIVO PATR'!AA32</f>
        <v>29492.400000000001</v>
      </c>
      <c r="F32" s="97">
        <f>'ATTIVO PATR'!F32-'ATTIVO PATR'!M32-'ATTIVO PATR'!N32</f>
        <v>0</v>
      </c>
      <c r="G32" s="97">
        <f>'ATTIVO PATR'!G32-'ATTIVO PATR'!P32-'ATTIVO PATR'!Q32</f>
        <v>346.78999999997905</v>
      </c>
      <c r="H32" s="97">
        <f>'ATTIVO PATR'!H32-'ATTIVO PATR'!S32-'ATTIVO PATR'!T32-'ATTIVO PATR'!AI32-'ATTIVO PATR'!AE32-'ATTIVO PATR'!AG32</f>
        <v>0</v>
      </c>
      <c r="I32" s="97">
        <f>'ATTIVO PATR'!I32-'ATTIVO PATR'!V32-'ATTIVO PATR'!W32-'ATTIVO PATR'!AH32</f>
        <v>5.999999999994543E-2</v>
      </c>
      <c r="J32" s="97">
        <f>'ATTIVO PATR'!J32-'ATTIVO PATR'!Y32-'ATTIVO PATR'!Z32-'ATTIVO PATR'!AD32</f>
        <v>0</v>
      </c>
      <c r="K32" s="97">
        <f>'ATTIVO PATR'!K32-'ATTIVO PATR'!AB32-'ATTIVO PATR'!AC32-'ATTIVO PATR'!AF32</f>
        <v>0</v>
      </c>
      <c r="L32" s="257">
        <f t="shared" si="3"/>
        <v>29839.249999999982</v>
      </c>
    </row>
    <row r="33" spans="1:12" x14ac:dyDescent="0.2">
      <c r="A33" s="119"/>
      <c r="B33" s="112" t="s">
        <v>205</v>
      </c>
      <c r="C33" s="115"/>
      <c r="D33" s="74" t="s">
        <v>177</v>
      </c>
      <c r="E33" s="96">
        <f>'ATTIVO PATR'!E33-'ATTIVO PATR'!L33-'ATTIVO PATR'!O33-'ATTIVO PATR'!R33-'ATTIVO PATR'!U33-'ATTIVO PATR'!X33-'ATTIVO PATR'!AA33</f>
        <v>0</v>
      </c>
      <c r="F33" s="97">
        <f>'ATTIVO PATR'!F33-'ATTIVO PATR'!M33-'ATTIVO PATR'!N33</f>
        <v>0</v>
      </c>
      <c r="G33" s="97">
        <f>'ATTIVO PATR'!G33-'ATTIVO PATR'!P33-'ATTIVO PATR'!Q33</f>
        <v>0</v>
      </c>
      <c r="H33" s="97">
        <f>'ATTIVO PATR'!H33-'ATTIVO PATR'!S33-'ATTIVO PATR'!T33-'ATTIVO PATR'!AI33-'ATTIVO PATR'!AE33-'ATTIVO PATR'!AG33</f>
        <v>0</v>
      </c>
      <c r="I33" s="97">
        <f>'ATTIVO PATR'!I33-'ATTIVO PATR'!V33-'ATTIVO PATR'!W33-'ATTIVO PATR'!AH33</f>
        <v>0</v>
      </c>
      <c r="J33" s="97">
        <f>'ATTIVO PATR'!J33-'ATTIVO PATR'!Y33-'ATTIVO PATR'!Z33-'ATTIVO PATR'!AD33</f>
        <v>0</v>
      </c>
      <c r="K33" s="97">
        <f>'ATTIVO PATR'!K33-'ATTIVO PATR'!AB33-'ATTIVO PATR'!AC33-'ATTIVO PATR'!AF33</f>
        <v>0</v>
      </c>
      <c r="L33" s="257">
        <f t="shared" si="3"/>
        <v>0</v>
      </c>
    </row>
    <row r="34" spans="1:12" ht="15.75" customHeight="1" x14ac:dyDescent="0.2">
      <c r="A34" s="118"/>
      <c r="B34" s="112" t="s">
        <v>185</v>
      </c>
      <c r="C34" s="113"/>
      <c r="D34" s="12" t="s">
        <v>138</v>
      </c>
      <c r="E34" s="96">
        <f>'ATTIVO PATR'!E34-'ATTIVO PATR'!L34-'ATTIVO PATR'!O34-'ATTIVO PATR'!R34-'ATTIVO PATR'!U34-'ATTIVO PATR'!X34-'ATTIVO PATR'!AA34</f>
        <v>9299.94</v>
      </c>
      <c r="F34" s="97">
        <f>'ATTIVO PATR'!F34-'ATTIVO PATR'!M34-'ATTIVO PATR'!N34</f>
        <v>0</v>
      </c>
      <c r="G34" s="97">
        <f>'ATTIVO PATR'!G34-'ATTIVO PATR'!P34-'ATTIVO PATR'!Q34</f>
        <v>0</v>
      </c>
      <c r="H34" s="97">
        <f>'ATTIVO PATR'!H34-'ATTIVO PATR'!S34-'ATTIVO PATR'!T34-'ATTIVO PATR'!AI34-'ATTIVO PATR'!AE34-'ATTIVO PATR'!AG34</f>
        <v>7437.6000000000058</v>
      </c>
      <c r="I34" s="97">
        <f>'ATTIVO PATR'!I34-'ATTIVO PATR'!V34-'ATTIVO PATR'!W34-'ATTIVO PATR'!AH34</f>
        <v>0</v>
      </c>
      <c r="J34" s="97">
        <f>'ATTIVO PATR'!J34-'ATTIVO PATR'!Y34-'ATTIVO PATR'!Z34-'ATTIVO PATR'!AD34</f>
        <v>0</v>
      </c>
      <c r="K34" s="97">
        <f>'ATTIVO PATR'!K34-'ATTIVO PATR'!AB34-'ATTIVO PATR'!AC34-'ATTIVO PATR'!AF34</f>
        <v>0</v>
      </c>
      <c r="L34" s="257">
        <f t="shared" si="3"/>
        <v>16737.540000000008</v>
      </c>
    </row>
    <row r="35" spans="1:12" x14ac:dyDescent="0.2">
      <c r="A35" s="111"/>
      <c r="B35" s="112">
        <v>3</v>
      </c>
      <c r="C35" s="113"/>
      <c r="D35" s="12" t="s">
        <v>89</v>
      </c>
      <c r="E35" s="96">
        <f>'ATTIVO PATR'!E35-'ATTIVO PATR'!L35-'ATTIVO PATR'!O35-'ATTIVO PATR'!R35-'ATTIVO PATR'!U35-'ATTIVO PATR'!X35-'ATTIVO PATR'!AA35</f>
        <v>1892588.49</v>
      </c>
      <c r="F35" s="97">
        <f>'ATTIVO PATR'!F35-'ATTIVO PATR'!M35-'ATTIVO PATR'!N35</f>
        <v>0</v>
      </c>
      <c r="G35" s="97">
        <f>'ATTIVO PATR'!G35-'ATTIVO PATR'!P35-'ATTIVO PATR'!Q35</f>
        <v>0</v>
      </c>
      <c r="H35" s="97">
        <f>'ATTIVO PATR'!H35-'ATTIVO PATR'!S35-'ATTIVO PATR'!T35-'ATTIVO PATR'!AI35-'ATTIVO PATR'!AE35-'ATTIVO PATR'!AG35</f>
        <v>6459995.25</v>
      </c>
      <c r="I35" s="97">
        <f>'ATTIVO PATR'!I35-'ATTIVO PATR'!V35-'ATTIVO PATR'!W35-'ATTIVO PATR'!AH35</f>
        <v>152.79000000003725</v>
      </c>
      <c r="J35" s="97">
        <f>'ATTIVO PATR'!J35-'ATTIVO PATR'!Y35-'ATTIVO PATR'!Z35-'ATTIVO PATR'!AD35</f>
        <v>17491.5</v>
      </c>
      <c r="K35" s="97">
        <f>'ATTIVO PATR'!K35-'ATTIVO PATR'!AB35-'ATTIVO PATR'!AC35-'ATTIVO PATR'!AF35</f>
        <v>0</v>
      </c>
      <c r="L35" s="274">
        <f t="shared" si="3"/>
        <v>8370228.0300000003</v>
      </c>
    </row>
    <row r="36" spans="1:12" x14ac:dyDescent="0.2">
      <c r="A36" s="111"/>
      <c r="B36" s="112"/>
      <c r="C36" s="113"/>
      <c r="D36" s="73" t="s">
        <v>178</v>
      </c>
      <c r="E36" s="109">
        <f>E17+E22+E35</f>
        <v>37974623.390000001</v>
      </c>
      <c r="F36" s="109">
        <f t="shared" ref="F36:L36" si="4">F17+F22+F35</f>
        <v>0</v>
      </c>
      <c r="G36" s="109">
        <f t="shared" si="4"/>
        <v>34265.739999994636</v>
      </c>
      <c r="H36" s="109">
        <f t="shared" si="4"/>
        <v>8959984.2500000075</v>
      </c>
      <c r="I36" s="109">
        <f t="shared" si="4"/>
        <v>153.17000000003645</v>
      </c>
      <c r="J36" s="109">
        <f t="shared" si="4"/>
        <v>33452.650000000023</v>
      </c>
      <c r="K36" s="109">
        <f t="shared" si="4"/>
        <v>0</v>
      </c>
      <c r="L36" s="275">
        <f t="shared" si="4"/>
        <v>47002479.200000003</v>
      </c>
    </row>
    <row r="37" spans="1:12" x14ac:dyDescent="0.2">
      <c r="A37" s="111"/>
      <c r="B37" s="112"/>
      <c r="C37" s="113"/>
      <c r="D37" s="12"/>
      <c r="E37" s="102"/>
      <c r="F37" s="103"/>
      <c r="G37" s="103"/>
      <c r="H37" s="103"/>
      <c r="I37" s="103"/>
      <c r="J37" s="103"/>
      <c r="K37" s="103"/>
      <c r="L37" s="257"/>
    </row>
    <row r="38" spans="1:12" x14ac:dyDescent="0.2">
      <c r="A38" s="93" t="s">
        <v>45</v>
      </c>
      <c r="B38" s="94"/>
      <c r="C38" s="95"/>
      <c r="D38" s="49" t="s">
        <v>65</v>
      </c>
      <c r="E38" s="102"/>
      <c r="F38" s="103"/>
      <c r="G38" s="103"/>
      <c r="H38" s="103"/>
      <c r="I38" s="103"/>
      <c r="J38" s="103"/>
      <c r="K38" s="103"/>
      <c r="L38" s="257"/>
    </row>
    <row r="39" spans="1:12" x14ac:dyDescent="0.2">
      <c r="A39" s="93"/>
      <c r="B39" s="94">
        <v>1</v>
      </c>
      <c r="C39" s="95"/>
      <c r="D39" s="12" t="s">
        <v>25</v>
      </c>
      <c r="E39" s="96">
        <f>'ATTIVO PATR'!E39-'ATTIVO PATR'!L39-'ATTIVO PATR'!O39-'ATTIVO PATR'!R39-'ATTIVO PATR'!U39-'ATTIVO PATR'!X39-'ATTIVO PATR'!AA39</f>
        <v>-9.9999998492421582E-3</v>
      </c>
      <c r="F39" s="97">
        <f>'ATTIVO PATR'!F39-'ATTIVO PATR'!M39-'ATTIVO PATR'!N39</f>
        <v>0</v>
      </c>
      <c r="G39" s="97">
        <f>'ATTIVO PATR'!G39-'ATTIVO PATR'!P39-'ATTIVO PATR'!Q39</f>
        <v>0</v>
      </c>
      <c r="H39" s="97">
        <f>'ATTIVO PATR'!H39-'ATTIVO PATR'!S39-'ATTIVO PATR'!T39-'ATTIVO PATR'!AI39-'ATTIVO PATR'!AE39-'ATTIVO PATR'!AG39</f>
        <v>64521.649999999907</v>
      </c>
      <c r="I39" s="97">
        <f>'ATTIVO PATR'!I39-'ATTIVO PATR'!V39-'ATTIVO PATR'!W39-'ATTIVO PATR'!AH39</f>
        <v>0</v>
      </c>
      <c r="J39" s="97">
        <f>'ATTIVO PATR'!J39-'ATTIVO PATR'!Y39-'ATTIVO PATR'!Z39-'ATTIVO PATR'!AD39</f>
        <v>200</v>
      </c>
      <c r="K39" s="97">
        <f>'ATTIVO PATR'!K39-'ATTIVO PATR'!AB39-'ATTIVO PATR'!AC39-'ATTIVO PATR'!AF39</f>
        <v>0</v>
      </c>
      <c r="L39" s="257">
        <f t="shared" ref="L39:L48" si="5">SUM(E39:K39)</f>
        <v>64721.640000000058</v>
      </c>
    </row>
    <row r="40" spans="1:12" x14ac:dyDescent="0.2">
      <c r="A40" s="93"/>
      <c r="B40" s="94"/>
      <c r="C40" s="95" t="s">
        <v>29</v>
      </c>
      <c r="D40" s="122" t="s">
        <v>88</v>
      </c>
      <c r="E40" s="96">
        <f>'ATTIVO PATR'!E40-'ATTIVO PATR'!L40-'ATTIVO PATR'!O40-'ATTIVO PATR'!R40-'ATTIVO PATR'!U40-'ATTIVO PATR'!X40-'ATTIVO PATR'!AA40</f>
        <v>0</v>
      </c>
      <c r="F40" s="97">
        <f>'ATTIVO PATR'!F40-'ATTIVO PATR'!M40-'ATTIVO PATR'!N40</f>
        <v>0</v>
      </c>
      <c r="G40" s="97">
        <f>'ATTIVO PATR'!G40-'ATTIVO PATR'!P40-'ATTIVO PATR'!Q40</f>
        <v>0</v>
      </c>
      <c r="H40" s="97">
        <f>'ATTIVO PATR'!H40-'ATTIVO PATR'!S40-'ATTIVO PATR'!T40-'ATTIVO PATR'!AI40-'ATTIVO PATR'!AE40-'ATTIVO PATR'!AG40</f>
        <v>56689.149999999907</v>
      </c>
      <c r="I40" s="97">
        <f>'ATTIVO PATR'!I40-'ATTIVO PATR'!V40-'ATTIVO PATR'!W40-'ATTIVO PATR'!AH40</f>
        <v>0</v>
      </c>
      <c r="J40" s="97">
        <f>'ATTIVO PATR'!J40-'ATTIVO PATR'!Y40-'ATTIVO PATR'!Z40-'ATTIVO PATR'!AD40</f>
        <v>0</v>
      </c>
      <c r="K40" s="97">
        <f>'ATTIVO PATR'!K40-'ATTIVO PATR'!AB40-'ATTIVO PATR'!AC40-'ATTIVO PATR'!AF40</f>
        <v>0</v>
      </c>
      <c r="L40" s="257">
        <f t="shared" si="5"/>
        <v>56689.149999999907</v>
      </c>
    </row>
    <row r="41" spans="1:12" x14ac:dyDescent="0.2">
      <c r="A41" s="93"/>
      <c r="B41" s="94"/>
      <c r="C41" s="95" t="s">
        <v>30</v>
      </c>
      <c r="D41" s="50" t="s">
        <v>104</v>
      </c>
      <c r="E41" s="96">
        <f>'ATTIVO PATR'!E41-'ATTIVO PATR'!L41-'ATTIVO PATR'!O41-'ATTIVO PATR'!R41-'ATTIVO PATR'!U41-'ATTIVO PATR'!X41-'ATTIVO PATR'!AA41</f>
        <v>-9.9999998492421582E-3</v>
      </c>
      <c r="F41" s="97">
        <f>'ATTIVO PATR'!F41-'ATTIVO PATR'!M41-'ATTIVO PATR'!N41</f>
        <v>0</v>
      </c>
      <c r="G41" s="97">
        <f>'ATTIVO PATR'!G41-'ATTIVO PATR'!P41-'ATTIVO PATR'!Q41</f>
        <v>0</v>
      </c>
      <c r="H41" s="97">
        <f>'ATTIVO PATR'!H41-'ATTIVO PATR'!S41-'ATTIVO PATR'!T41-'ATTIVO PATR'!AI41-'ATTIVO PATR'!AE41-'ATTIVO PATR'!AG41</f>
        <v>7832.5</v>
      </c>
      <c r="I41" s="97">
        <f>'ATTIVO PATR'!I41-'ATTIVO PATR'!V41-'ATTIVO PATR'!W41-'ATTIVO PATR'!AH41</f>
        <v>0</v>
      </c>
      <c r="J41" s="97">
        <f>'ATTIVO PATR'!J41-'ATTIVO PATR'!Y41-'ATTIVO PATR'!Z41-'ATTIVO PATR'!AD41</f>
        <v>0</v>
      </c>
      <c r="K41" s="97">
        <f>'ATTIVO PATR'!K41-'ATTIVO PATR'!AB41-'ATTIVO PATR'!AC41-'ATTIVO PATR'!AF41</f>
        <v>0</v>
      </c>
      <c r="L41" s="257">
        <f t="shared" si="5"/>
        <v>7832.4900000001508</v>
      </c>
    </row>
    <row r="42" spans="1:12" x14ac:dyDescent="0.2">
      <c r="A42" s="93"/>
      <c r="B42" s="94"/>
      <c r="C42" s="95" t="s">
        <v>31</v>
      </c>
      <c r="D42" s="50" t="s">
        <v>101</v>
      </c>
      <c r="E42" s="96">
        <f>'ATTIVO PATR'!E42-'ATTIVO PATR'!L42-'ATTIVO PATR'!O42-'ATTIVO PATR'!R42-'ATTIVO PATR'!U42-'ATTIVO PATR'!X42-'ATTIVO PATR'!AA42</f>
        <v>0</v>
      </c>
      <c r="F42" s="97">
        <f>'ATTIVO PATR'!F42-'ATTIVO PATR'!M42-'ATTIVO PATR'!N42</f>
        <v>0</v>
      </c>
      <c r="G42" s="97">
        <f>'ATTIVO PATR'!G42-'ATTIVO PATR'!P42-'ATTIVO PATR'!Q42</f>
        <v>0</v>
      </c>
      <c r="H42" s="97">
        <f>'ATTIVO PATR'!H42-'ATTIVO PATR'!S42-'ATTIVO PATR'!T42-'ATTIVO PATR'!AI42-'ATTIVO PATR'!AE42-'ATTIVO PATR'!AG42</f>
        <v>0</v>
      </c>
      <c r="I42" s="97">
        <f>'ATTIVO PATR'!I42-'ATTIVO PATR'!V42-'ATTIVO PATR'!W42-'ATTIVO PATR'!AH42</f>
        <v>0</v>
      </c>
      <c r="J42" s="97">
        <f>'ATTIVO PATR'!J42-'ATTIVO PATR'!Y42-'ATTIVO PATR'!Z42-'ATTIVO PATR'!AD42</f>
        <v>200</v>
      </c>
      <c r="K42" s="97">
        <f>'ATTIVO PATR'!K42-'ATTIVO PATR'!AB42-'ATTIVO PATR'!AC42-'ATTIVO PATR'!AF42</f>
        <v>0</v>
      </c>
      <c r="L42" s="257">
        <f t="shared" si="5"/>
        <v>200</v>
      </c>
    </row>
    <row r="43" spans="1:12" x14ac:dyDescent="0.2">
      <c r="A43" s="93"/>
      <c r="B43" s="94">
        <v>2</v>
      </c>
      <c r="C43" s="95"/>
      <c r="D43" s="12" t="s">
        <v>26</v>
      </c>
      <c r="E43" s="96">
        <f>'ATTIVO PATR'!E43-'ATTIVO PATR'!L43-'ATTIVO PATR'!O43-'ATTIVO PATR'!R43-'ATTIVO PATR'!U43-'ATTIVO PATR'!X43-'ATTIVO PATR'!AA43</f>
        <v>0</v>
      </c>
      <c r="F43" s="97">
        <f>'ATTIVO PATR'!F43-'ATTIVO PATR'!M43-'ATTIVO PATR'!N43</f>
        <v>0</v>
      </c>
      <c r="G43" s="97">
        <f>'ATTIVO PATR'!G43-'ATTIVO PATR'!P43-'ATTIVO PATR'!Q43</f>
        <v>0</v>
      </c>
      <c r="H43" s="97">
        <f>'ATTIVO PATR'!H43-'ATTIVO PATR'!S43-'ATTIVO PATR'!T43-'ATTIVO PATR'!AI43-'ATTIVO PATR'!AE43-'ATTIVO PATR'!AG43</f>
        <v>644446.90000000037</v>
      </c>
      <c r="I43" s="97">
        <f>'ATTIVO PATR'!I43-'ATTIVO PATR'!V43-'ATTIVO PATR'!W43-'ATTIVO PATR'!AH43</f>
        <v>0</v>
      </c>
      <c r="J43" s="97">
        <f>'ATTIVO PATR'!J43-'ATTIVO PATR'!Y43-'ATTIVO PATR'!Z43-'ATTIVO PATR'!AD43</f>
        <v>0</v>
      </c>
      <c r="K43" s="97">
        <f>'ATTIVO PATR'!K43-'ATTIVO PATR'!AB43-'ATTIVO PATR'!AC43-'ATTIVO PATR'!AF43</f>
        <v>0</v>
      </c>
      <c r="L43" s="257">
        <f t="shared" si="5"/>
        <v>644446.90000000037</v>
      </c>
    </row>
    <row r="44" spans="1:12" x14ac:dyDescent="0.2">
      <c r="A44" s="93"/>
      <c r="B44" s="94"/>
      <c r="C44" s="95" t="s">
        <v>29</v>
      </c>
      <c r="D44" s="12" t="s">
        <v>105</v>
      </c>
      <c r="E44" s="96">
        <f>'ATTIVO PATR'!E44-'ATTIVO PATR'!L44-'ATTIVO PATR'!O44-'ATTIVO PATR'!R44-'ATTIVO PATR'!U44-'ATTIVO PATR'!X44-'ATTIVO PATR'!AA44</f>
        <v>0</v>
      </c>
      <c r="F44" s="97">
        <f>'ATTIVO PATR'!F44-'ATTIVO PATR'!M44-'ATTIVO PATR'!N44</f>
        <v>0</v>
      </c>
      <c r="G44" s="97">
        <f>'ATTIVO PATR'!G44-'ATTIVO PATR'!P44-'ATTIVO PATR'!Q44</f>
        <v>0</v>
      </c>
      <c r="H44" s="97">
        <f>'ATTIVO PATR'!H44-'ATTIVO PATR'!S44-'ATTIVO PATR'!T44-'ATTIVO PATR'!AI44-'ATTIVO PATR'!AE44-'ATTIVO PATR'!AG44</f>
        <v>0</v>
      </c>
      <c r="I44" s="97">
        <f>'ATTIVO PATR'!I44-'ATTIVO PATR'!V44-'ATTIVO PATR'!W44-'ATTIVO PATR'!AH44</f>
        <v>0</v>
      </c>
      <c r="J44" s="97">
        <f>'ATTIVO PATR'!J44-'ATTIVO PATR'!Y44-'ATTIVO PATR'!Z44-'ATTIVO PATR'!AD44</f>
        <v>0</v>
      </c>
      <c r="K44" s="97">
        <f>'ATTIVO PATR'!K44-'ATTIVO PATR'!AB44-'ATTIVO PATR'!AC44-'ATTIVO PATR'!AF44</f>
        <v>0</v>
      </c>
      <c r="L44" s="257">
        <f t="shared" si="5"/>
        <v>0</v>
      </c>
    </row>
    <row r="45" spans="1:12" x14ac:dyDescent="0.2">
      <c r="A45" s="93"/>
      <c r="B45" s="94"/>
      <c r="C45" s="95" t="s">
        <v>30</v>
      </c>
      <c r="D45" s="122" t="s">
        <v>88</v>
      </c>
      <c r="E45" s="96">
        <f>'ATTIVO PATR'!E45-'ATTIVO PATR'!L45-'ATTIVO PATR'!O45-'ATTIVO PATR'!R45-'ATTIVO PATR'!U45-'ATTIVO PATR'!X45-'ATTIVO PATR'!AA45</f>
        <v>0</v>
      </c>
      <c r="F45" s="97">
        <f>'ATTIVO PATR'!F45-'ATTIVO PATR'!M45-'ATTIVO PATR'!N45</f>
        <v>0</v>
      </c>
      <c r="G45" s="97">
        <f>'ATTIVO PATR'!G45-'ATTIVO PATR'!P45-'ATTIVO PATR'!Q45</f>
        <v>0</v>
      </c>
      <c r="H45" s="97">
        <f>'ATTIVO PATR'!H45-'ATTIVO PATR'!S45-'ATTIVO PATR'!T45-'ATTIVO PATR'!AI45-'ATTIVO PATR'!AE45-'ATTIVO PATR'!AG45</f>
        <v>0</v>
      </c>
      <c r="I45" s="97">
        <f>'ATTIVO PATR'!I45-'ATTIVO PATR'!V45-'ATTIVO PATR'!W45-'ATTIVO PATR'!AH45</f>
        <v>0</v>
      </c>
      <c r="J45" s="97">
        <f>'ATTIVO PATR'!J45-'ATTIVO PATR'!Y45-'ATTIVO PATR'!Z45-'ATTIVO PATR'!AD45</f>
        <v>0</v>
      </c>
      <c r="K45" s="97">
        <f>'ATTIVO PATR'!K45-'ATTIVO PATR'!AB45-'ATTIVO PATR'!AC45-'ATTIVO PATR'!AF45</f>
        <v>0</v>
      </c>
      <c r="L45" s="257">
        <f t="shared" si="5"/>
        <v>0</v>
      </c>
    </row>
    <row r="46" spans="1:12" x14ac:dyDescent="0.2">
      <c r="A46" s="93"/>
      <c r="B46" s="94"/>
      <c r="C46" s="95" t="s">
        <v>31</v>
      </c>
      <c r="D46" s="50" t="s">
        <v>217</v>
      </c>
      <c r="E46" s="96">
        <f>'ATTIVO PATR'!E46-'ATTIVO PATR'!L46-'ATTIVO PATR'!O46-'ATTIVO PATR'!R46-'ATTIVO PATR'!U46-'ATTIVO PATR'!X46-'ATTIVO PATR'!AA46</f>
        <v>0</v>
      </c>
      <c r="F46" s="97">
        <f>'ATTIVO PATR'!F46-'ATTIVO PATR'!M46-'ATTIVO PATR'!N46</f>
        <v>0</v>
      </c>
      <c r="G46" s="97">
        <f>'ATTIVO PATR'!G46-'ATTIVO PATR'!P46-'ATTIVO PATR'!Q46</f>
        <v>0</v>
      </c>
      <c r="H46" s="97">
        <f>'ATTIVO PATR'!H46-'ATTIVO PATR'!S46-'ATTIVO PATR'!T46-'ATTIVO PATR'!AI46-'ATTIVO PATR'!AE46-'ATTIVO PATR'!AG46</f>
        <v>0</v>
      </c>
      <c r="I46" s="97">
        <f>'ATTIVO PATR'!I46-'ATTIVO PATR'!V46-'ATTIVO PATR'!W46-'ATTIVO PATR'!AH46</f>
        <v>0</v>
      </c>
      <c r="J46" s="97">
        <f>'ATTIVO PATR'!J46-'ATTIVO PATR'!Y46-'ATTIVO PATR'!Z46-'ATTIVO PATR'!AD46</f>
        <v>0</v>
      </c>
      <c r="K46" s="97">
        <f>'ATTIVO PATR'!K46-'ATTIVO PATR'!AB46-'ATTIVO PATR'!AC46-'ATTIVO PATR'!AF46</f>
        <v>0</v>
      </c>
      <c r="L46" s="257">
        <f t="shared" si="5"/>
        <v>0</v>
      </c>
    </row>
    <row r="47" spans="1:12" x14ac:dyDescent="0.2">
      <c r="A47" s="93"/>
      <c r="B47" s="94"/>
      <c r="C47" s="95" t="s">
        <v>32</v>
      </c>
      <c r="D47" s="50" t="s">
        <v>154</v>
      </c>
      <c r="E47" s="96">
        <f>'ATTIVO PATR'!E47-'ATTIVO PATR'!L47-'ATTIVO PATR'!O47-'ATTIVO PATR'!R47-'ATTIVO PATR'!U47-'ATTIVO PATR'!X47-'ATTIVO PATR'!AA47</f>
        <v>0</v>
      </c>
      <c r="F47" s="97">
        <f>'ATTIVO PATR'!F47-'ATTIVO PATR'!M47-'ATTIVO PATR'!N47</f>
        <v>0</v>
      </c>
      <c r="G47" s="97">
        <f>'ATTIVO PATR'!G47-'ATTIVO PATR'!P47-'ATTIVO PATR'!Q47</f>
        <v>0</v>
      </c>
      <c r="H47" s="97">
        <f>'ATTIVO PATR'!H47-'ATTIVO PATR'!S47-'ATTIVO PATR'!T47-'ATTIVO PATR'!AI47-'ATTIVO PATR'!AE47-'ATTIVO PATR'!AG47</f>
        <v>644446.90000000037</v>
      </c>
      <c r="I47" s="97">
        <f>'ATTIVO PATR'!I47-'ATTIVO PATR'!V47-'ATTIVO PATR'!W47-'ATTIVO PATR'!AH47</f>
        <v>0</v>
      </c>
      <c r="J47" s="97">
        <f>'ATTIVO PATR'!J47-'ATTIVO PATR'!Y47-'ATTIVO PATR'!Z47-'ATTIVO PATR'!AD47</f>
        <v>0</v>
      </c>
      <c r="K47" s="97">
        <f>'ATTIVO PATR'!K47-'ATTIVO PATR'!AB47-'ATTIVO PATR'!AC47-'ATTIVO PATR'!AF47</f>
        <v>0</v>
      </c>
      <c r="L47" s="257">
        <f t="shared" si="5"/>
        <v>644446.90000000037</v>
      </c>
    </row>
    <row r="48" spans="1:12" x14ac:dyDescent="0.2">
      <c r="A48" s="93"/>
      <c r="B48" s="94">
        <v>3</v>
      </c>
      <c r="C48" s="123"/>
      <c r="D48" s="12" t="s">
        <v>24</v>
      </c>
      <c r="E48" s="96">
        <f>'ATTIVO PATR'!E48-'ATTIVO PATR'!L48-'ATTIVO PATR'!O48-'ATTIVO PATR'!R48-'ATTIVO PATR'!U48-'ATTIVO PATR'!X48-'ATTIVO PATR'!AA48</f>
        <v>0</v>
      </c>
      <c r="F48" s="97">
        <f>'ATTIVO PATR'!F48-'ATTIVO PATR'!M48-'ATTIVO PATR'!N48</f>
        <v>0</v>
      </c>
      <c r="G48" s="97">
        <f>'ATTIVO PATR'!G48-'ATTIVO PATR'!P48-'ATTIVO PATR'!Q48</f>
        <v>0</v>
      </c>
      <c r="H48" s="97">
        <f>'ATTIVO PATR'!H48-'ATTIVO PATR'!S48-'ATTIVO PATR'!T48-'ATTIVO PATR'!AI48-'ATTIVO PATR'!AE48-'ATTIVO PATR'!AG48</f>
        <v>0</v>
      </c>
      <c r="I48" s="97">
        <f>'ATTIVO PATR'!I48-'ATTIVO PATR'!V48-'ATTIVO PATR'!W48-'ATTIVO PATR'!AH48</f>
        <v>0</v>
      </c>
      <c r="J48" s="97">
        <f>'ATTIVO PATR'!J48-'ATTIVO PATR'!Y48-'ATTIVO PATR'!Z48-'ATTIVO PATR'!AD48</f>
        <v>0</v>
      </c>
      <c r="K48" s="97">
        <f>'ATTIVO PATR'!K48-'ATTIVO PATR'!AB48-'ATTIVO PATR'!AC48-'ATTIVO PATR'!AF48</f>
        <v>0</v>
      </c>
      <c r="L48" s="274">
        <f t="shared" si="5"/>
        <v>0</v>
      </c>
    </row>
    <row r="49" spans="1:12" x14ac:dyDescent="0.2">
      <c r="A49" s="93"/>
      <c r="B49" s="94"/>
      <c r="C49" s="95"/>
      <c r="D49" s="73" t="s">
        <v>179</v>
      </c>
      <c r="E49" s="124">
        <f>E39+E43+E48</f>
        <v>-9.9999998492421582E-3</v>
      </c>
      <c r="F49" s="124">
        <f t="shared" ref="F49:L49" si="6">F39+F43+F48</f>
        <v>0</v>
      </c>
      <c r="G49" s="124">
        <f t="shared" si="6"/>
        <v>0</v>
      </c>
      <c r="H49" s="124">
        <f t="shared" si="6"/>
        <v>708968.55000000028</v>
      </c>
      <c r="I49" s="124">
        <f t="shared" si="6"/>
        <v>0</v>
      </c>
      <c r="J49" s="124">
        <f t="shared" si="6"/>
        <v>200</v>
      </c>
      <c r="K49" s="124">
        <f t="shared" si="6"/>
        <v>0</v>
      </c>
      <c r="L49" s="276">
        <f t="shared" si="6"/>
        <v>709168.54000000039</v>
      </c>
    </row>
    <row r="50" spans="1:12" x14ac:dyDescent="0.2">
      <c r="A50" s="126"/>
      <c r="B50" s="127"/>
      <c r="C50" s="128"/>
      <c r="D50" s="51" t="s">
        <v>69</v>
      </c>
      <c r="E50" s="129">
        <f>E36+E49+E14</f>
        <v>38289499.474275209</v>
      </c>
      <c r="F50" s="129">
        <f t="shared" ref="F50:L50" si="7">F36+F49+F14</f>
        <v>0</v>
      </c>
      <c r="G50" s="129">
        <f t="shared" si="7"/>
        <v>278188.93000000715</v>
      </c>
      <c r="H50" s="129">
        <f t="shared" si="7"/>
        <v>9681897.2000000086</v>
      </c>
      <c r="I50" s="129">
        <f t="shared" si="7"/>
        <v>153.2600000000366</v>
      </c>
      <c r="J50" s="129">
        <f t="shared" si="7"/>
        <v>80569.250000000044</v>
      </c>
      <c r="K50" s="129">
        <f t="shared" si="7"/>
        <v>0</v>
      </c>
      <c r="L50" s="277">
        <f t="shared" si="7"/>
        <v>48330308.114275225</v>
      </c>
    </row>
    <row r="51" spans="1:12" x14ac:dyDescent="0.2">
      <c r="A51" s="93"/>
      <c r="B51" s="94"/>
      <c r="C51" s="95"/>
      <c r="D51" s="105"/>
      <c r="E51" s="102"/>
      <c r="F51" s="103"/>
      <c r="G51" s="103"/>
      <c r="H51" s="103"/>
      <c r="I51" s="103"/>
      <c r="J51" s="103"/>
      <c r="K51" s="103"/>
      <c r="L51" s="257"/>
    </row>
    <row r="52" spans="1:12" x14ac:dyDescent="0.2">
      <c r="A52" s="93"/>
      <c r="B52" s="94"/>
      <c r="C52" s="95"/>
      <c r="D52" s="101" t="s">
        <v>180</v>
      </c>
      <c r="E52" s="102"/>
      <c r="F52" s="103"/>
      <c r="G52" s="103"/>
      <c r="H52" s="103"/>
      <c r="I52" s="103"/>
      <c r="J52" s="103"/>
      <c r="K52" s="103"/>
      <c r="L52" s="257"/>
    </row>
    <row r="53" spans="1:12" x14ac:dyDescent="0.2">
      <c r="A53" s="93" t="s">
        <v>41</v>
      </c>
      <c r="B53" s="94"/>
      <c r="C53" s="123"/>
      <c r="D53" s="104" t="s">
        <v>59</v>
      </c>
      <c r="E53" s="96">
        <f>'ATTIVO PATR'!E53-'ATTIVO PATR'!L53-'ATTIVO PATR'!O53-'ATTIVO PATR'!R53-'ATTIVO PATR'!U53-'ATTIVO PATR'!X53-'ATTIVO PATR'!AA53</f>
        <v>0</v>
      </c>
      <c r="F53" s="97">
        <f>'ATTIVO PATR'!F53-'ATTIVO PATR'!M53-'ATTIVO PATR'!N53</f>
        <v>0</v>
      </c>
      <c r="G53" s="97">
        <f>'ATTIVO PATR'!G53-'ATTIVO PATR'!P53-'ATTIVO PATR'!Q53</f>
        <v>129.72000000000116</v>
      </c>
      <c r="H53" s="97">
        <f>'ATTIVO PATR'!H53-'ATTIVO PATR'!S53-'ATTIVO PATR'!T53-'ATTIVO PATR'!AI53-'ATTIVO PATR'!AE53-'ATTIVO PATR'!AG53</f>
        <v>847551</v>
      </c>
      <c r="I53" s="97">
        <f>'ATTIVO PATR'!I53-'ATTIVO PATR'!V53-'ATTIVO PATR'!W53-'ATTIVO PATR'!AH53</f>
        <v>0.21000000000003638</v>
      </c>
      <c r="J53" s="97">
        <f>'ATTIVO PATR'!J53-'ATTIVO PATR'!Y53-'ATTIVO PATR'!Z53-'ATTIVO PATR'!AD53</f>
        <v>203578.35000000009</v>
      </c>
      <c r="K53" s="97">
        <f>'ATTIVO PATR'!K53-'ATTIVO PATR'!AB53-'ATTIVO PATR'!AC53-'ATTIVO PATR'!AF53</f>
        <v>0</v>
      </c>
      <c r="L53" s="274">
        <f t="shared" ref="L53" si="8">SUM(E53:K53)</f>
        <v>1051259.28</v>
      </c>
    </row>
    <row r="54" spans="1:12" x14ac:dyDescent="0.2">
      <c r="A54" s="93"/>
      <c r="B54" s="94"/>
      <c r="C54" s="95"/>
      <c r="D54" s="13" t="s">
        <v>1</v>
      </c>
      <c r="E54" s="131">
        <f>E53</f>
        <v>0</v>
      </c>
      <c r="F54" s="131">
        <f t="shared" ref="F54:L54" si="9">F53</f>
        <v>0</v>
      </c>
      <c r="G54" s="131">
        <f t="shared" si="9"/>
        <v>129.72000000000116</v>
      </c>
      <c r="H54" s="131">
        <f t="shared" si="9"/>
        <v>847551</v>
      </c>
      <c r="I54" s="131">
        <f t="shared" si="9"/>
        <v>0.21000000000003638</v>
      </c>
      <c r="J54" s="131">
        <f t="shared" si="9"/>
        <v>203578.35000000009</v>
      </c>
      <c r="K54" s="131">
        <f t="shared" si="9"/>
        <v>0</v>
      </c>
      <c r="L54" s="278">
        <f t="shared" si="9"/>
        <v>1051259.28</v>
      </c>
    </row>
    <row r="55" spans="1:12" x14ac:dyDescent="0.2">
      <c r="A55" s="93" t="s">
        <v>42</v>
      </c>
      <c r="B55" s="94"/>
      <c r="C55" s="95"/>
      <c r="D55" s="104" t="s">
        <v>66</v>
      </c>
      <c r="E55" s="102"/>
      <c r="F55" s="103"/>
      <c r="G55" s="103"/>
      <c r="H55" s="103"/>
      <c r="I55" s="103"/>
      <c r="J55" s="103"/>
      <c r="K55" s="103"/>
      <c r="L55" s="257"/>
    </row>
    <row r="56" spans="1:12" x14ac:dyDescent="0.2">
      <c r="A56" s="93"/>
      <c r="B56" s="94">
        <v>1</v>
      </c>
      <c r="C56" s="95"/>
      <c r="D56" s="105" t="s">
        <v>106</v>
      </c>
      <c r="E56" s="96">
        <f>'ATTIVO PATR'!E56-'ATTIVO PATR'!L56-'ATTIVO PATR'!O56-'ATTIVO PATR'!R56-'ATTIVO PATR'!U56-'ATTIVO PATR'!X56-'ATTIVO PATR'!AA56</f>
        <v>1259540.05</v>
      </c>
      <c r="F56" s="97">
        <f>'ATTIVO PATR'!F56-'ATTIVO PATR'!M56-'ATTIVO PATR'!N56</f>
        <v>0</v>
      </c>
      <c r="G56" s="97">
        <f>'ATTIVO PATR'!G56-'ATTIVO PATR'!P56-'ATTIVO PATR'!Q56</f>
        <v>0</v>
      </c>
      <c r="H56" s="97">
        <f>'ATTIVO PATR'!H56-'ATTIVO PATR'!S56-'ATTIVO PATR'!T56-'ATTIVO PATR'!AI56-'ATTIVO PATR'!AE56-'ATTIVO PATR'!AG56</f>
        <v>0</v>
      </c>
      <c r="I56" s="97">
        <f>'ATTIVO PATR'!I56-'ATTIVO PATR'!V56-'ATTIVO PATR'!W56-'ATTIVO PATR'!AH56</f>
        <v>0</v>
      </c>
      <c r="J56" s="97">
        <f>'ATTIVO PATR'!J56-'ATTIVO PATR'!Y56-'ATTIVO PATR'!Z56-'ATTIVO PATR'!AD56</f>
        <v>0</v>
      </c>
      <c r="K56" s="97">
        <f>'ATTIVO PATR'!K56-'ATTIVO PATR'!AB56-'ATTIVO PATR'!AC56-'ATTIVO PATR'!AF56</f>
        <v>0</v>
      </c>
      <c r="L56" s="257">
        <f t="shared" ref="L56:L69" si="10">SUM(E56:K56)</f>
        <v>1259540.05</v>
      </c>
    </row>
    <row r="57" spans="1:12" x14ac:dyDescent="0.2">
      <c r="A57" s="93"/>
      <c r="B57" s="94"/>
      <c r="C57" s="95" t="s">
        <v>29</v>
      </c>
      <c r="D57" s="122" t="s">
        <v>149</v>
      </c>
      <c r="E57" s="96">
        <f>'ATTIVO PATR'!E57-'ATTIVO PATR'!L57-'ATTIVO PATR'!O57-'ATTIVO PATR'!R57-'ATTIVO PATR'!U57-'ATTIVO PATR'!X57-'ATTIVO PATR'!AA57</f>
        <v>0</v>
      </c>
      <c r="F57" s="97">
        <f>'ATTIVO PATR'!F57-'ATTIVO PATR'!M57-'ATTIVO PATR'!N57</f>
        <v>0</v>
      </c>
      <c r="G57" s="97">
        <f>'ATTIVO PATR'!G57-'ATTIVO PATR'!P57-'ATTIVO PATR'!Q57</f>
        <v>0</v>
      </c>
      <c r="H57" s="97">
        <f>'ATTIVO PATR'!H57-'ATTIVO PATR'!S57-'ATTIVO PATR'!T57-'ATTIVO PATR'!AI57-'ATTIVO PATR'!AE57-'ATTIVO PATR'!AG57</f>
        <v>0</v>
      </c>
      <c r="I57" s="97">
        <f>'ATTIVO PATR'!I57-'ATTIVO PATR'!V57-'ATTIVO PATR'!W57-'ATTIVO PATR'!AH57</f>
        <v>0</v>
      </c>
      <c r="J57" s="97">
        <f>'ATTIVO PATR'!J57-'ATTIVO PATR'!Y57-'ATTIVO PATR'!Z57-'ATTIVO PATR'!AD57</f>
        <v>0</v>
      </c>
      <c r="K57" s="97">
        <f>'ATTIVO PATR'!K57-'ATTIVO PATR'!AB57-'ATTIVO PATR'!AC57-'ATTIVO PATR'!AF57</f>
        <v>0</v>
      </c>
      <c r="L57" s="257">
        <f t="shared" si="10"/>
        <v>0</v>
      </c>
    </row>
    <row r="58" spans="1:12" x14ac:dyDescent="0.2">
      <c r="A58" s="93"/>
      <c r="B58" s="94"/>
      <c r="C58" s="95" t="s">
        <v>30</v>
      </c>
      <c r="D58" s="122" t="s">
        <v>150</v>
      </c>
      <c r="E58" s="96">
        <f>'ATTIVO PATR'!E58-'ATTIVO PATR'!L58-'ATTIVO PATR'!O58-'ATTIVO PATR'!R58-'ATTIVO PATR'!U58-'ATTIVO PATR'!X58-'ATTIVO PATR'!AA58</f>
        <v>1259540.05</v>
      </c>
      <c r="F58" s="97">
        <f>'ATTIVO PATR'!F58-'ATTIVO PATR'!M58-'ATTIVO PATR'!N58</f>
        <v>0</v>
      </c>
      <c r="G58" s="97">
        <f>'ATTIVO PATR'!G58-'ATTIVO PATR'!P58-'ATTIVO PATR'!Q58</f>
        <v>0</v>
      </c>
      <c r="H58" s="97">
        <f>'ATTIVO PATR'!H58-'ATTIVO PATR'!S58-'ATTIVO PATR'!T58-'ATTIVO PATR'!AI58-'ATTIVO PATR'!AE58-'ATTIVO PATR'!AG58</f>
        <v>0</v>
      </c>
      <c r="I58" s="97">
        <f>'ATTIVO PATR'!I58-'ATTIVO PATR'!V58-'ATTIVO PATR'!W58-'ATTIVO PATR'!AH58</f>
        <v>0</v>
      </c>
      <c r="J58" s="97">
        <f>'ATTIVO PATR'!J58-'ATTIVO PATR'!Y58-'ATTIVO PATR'!Z58-'ATTIVO PATR'!AD58</f>
        <v>0</v>
      </c>
      <c r="K58" s="97">
        <f>'ATTIVO PATR'!K58-'ATTIVO PATR'!AB58-'ATTIVO PATR'!AC58-'ATTIVO PATR'!AF58</f>
        <v>0</v>
      </c>
      <c r="L58" s="257">
        <f t="shared" si="10"/>
        <v>1259540.05</v>
      </c>
    </row>
    <row r="59" spans="1:12" x14ac:dyDescent="0.2">
      <c r="A59" s="93"/>
      <c r="B59" s="94"/>
      <c r="C59" s="95" t="s">
        <v>31</v>
      </c>
      <c r="D59" s="122" t="s">
        <v>141</v>
      </c>
      <c r="E59" s="96">
        <f>'ATTIVO PATR'!E59-'ATTIVO PATR'!L59-'ATTIVO PATR'!O59-'ATTIVO PATR'!R59-'ATTIVO PATR'!U59-'ATTIVO PATR'!X59-'ATTIVO PATR'!AA59</f>
        <v>0</v>
      </c>
      <c r="F59" s="97">
        <f>'ATTIVO PATR'!F59-'ATTIVO PATR'!M59-'ATTIVO PATR'!N59</f>
        <v>0</v>
      </c>
      <c r="G59" s="97">
        <f>'ATTIVO PATR'!G59-'ATTIVO PATR'!P59-'ATTIVO PATR'!Q59</f>
        <v>0</v>
      </c>
      <c r="H59" s="97">
        <f>'ATTIVO PATR'!H59-'ATTIVO PATR'!S59-'ATTIVO PATR'!T59-'ATTIVO PATR'!AI59-'ATTIVO PATR'!AE59-'ATTIVO PATR'!AG59</f>
        <v>0</v>
      </c>
      <c r="I59" s="97">
        <f>'ATTIVO PATR'!I59-'ATTIVO PATR'!V59-'ATTIVO PATR'!W59-'ATTIVO PATR'!AH59</f>
        <v>0</v>
      </c>
      <c r="J59" s="97">
        <f>'ATTIVO PATR'!J59-'ATTIVO PATR'!Y59-'ATTIVO PATR'!Z59-'ATTIVO PATR'!AD59</f>
        <v>0</v>
      </c>
      <c r="K59" s="97">
        <f>'ATTIVO PATR'!K59-'ATTIVO PATR'!AB59-'ATTIVO PATR'!AC59-'ATTIVO PATR'!AF59</f>
        <v>0</v>
      </c>
      <c r="L59" s="257">
        <f t="shared" si="10"/>
        <v>0</v>
      </c>
    </row>
    <row r="60" spans="1:12" x14ac:dyDescent="0.2">
      <c r="A60" s="93"/>
      <c r="B60" s="94">
        <v>2</v>
      </c>
      <c r="C60" s="95"/>
      <c r="D60" s="105" t="s">
        <v>142</v>
      </c>
      <c r="E60" s="96">
        <f>'ATTIVO PATR'!E60-'ATTIVO PATR'!L60-'ATTIVO PATR'!O60-'ATTIVO PATR'!R60-'ATTIVO PATR'!U60-'ATTIVO PATR'!X60-'ATTIVO PATR'!AA60</f>
        <v>2200831.25</v>
      </c>
      <c r="F60" s="97">
        <f>'ATTIVO PATR'!F60-'ATTIVO PATR'!M60-'ATTIVO PATR'!N60</f>
        <v>0</v>
      </c>
      <c r="G60" s="97">
        <f>'ATTIVO PATR'!G60-'ATTIVO PATR'!P60-'ATTIVO PATR'!Q60</f>
        <v>0</v>
      </c>
      <c r="H60" s="97">
        <f>'ATTIVO PATR'!H60-'ATTIVO PATR'!S60-'ATTIVO PATR'!T60-'ATTIVO PATR'!AI60-'ATTIVO PATR'!AE60-'ATTIVO PATR'!AG60</f>
        <v>2764372.8500000015</v>
      </c>
      <c r="I60" s="97">
        <f>'ATTIVO PATR'!I60-'ATTIVO PATR'!V60-'ATTIVO PATR'!W60-'ATTIVO PATR'!AH60</f>
        <v>1543.0300000011921</v>
      </c>
      <c r="J60" s="97">
        <f>'ATTIVO PATR'!J60-'ATTIVO PATR'!Y60-'ATTIVO PATR'!Z60-'ATTIVO PATR'!AD60</f>
        <v>1868099.8500000015</v>
      </c>
      <c r="K60" s="97">
        <f>'ATTIVO PATR'!K60-'ATTIVO PATR'!AB60-'ATTIVO PATR'!AC60-'ATTIVO PATR'!AF60</f>
        <v>0</v>
      </c>
      <c r="L60" s="257">
        <f t="shared" si="10"/>
        <v>6834846.9800000042</v>
      </c>
    </row>
    <row r="61" spans="1:12" x14ac:dyDescent="0.2">
      <c r="A61" s="93"/>
      <c r="B61" s="94"/>
      <c r="C61" s="95" t="s">
        <v>29</v>
      </c>
      <c r="D61" s="122" t="s">
        <v>97</v>
      </c>
      <c r="E61" s="96">
        <f>'ATTIVO PATR'!E61-'ATTIVO PATR'!L61-'ATTIVO PATR'!O61-'ATTIVO PATR'!R61-'ATTIVO PATR'!U61-'ATTIVO PATR'!X61-'ATTIVO PATR'!AA61</f>
        <v>2200831.25</v>
      </c>
      <c r="F61" s="97">
        <f>'ATTIVO PATR'!F61-'ATTIVO PATR'!M61-'ATTIVO PATR'!N61</f>
        <v>0</v>
      </c>
      <c r="G61" s="97">
        <f>'ATTIVO PATR'!G61-'ATTIVO PATR'!P61-'ATTIVO PATR'!Q61</f>
        <v>0</v>
      </c>
      <c r="H61" s="97">
        <f>'ATTIVO PATR'!H61-'ATTIVO PATR'!S61-'ATTIVO PATR'!T61-'ATTIVO PATR'!AI61-'ATTIVO PATR'!AE61-'ATTIVO PATR'!AG61</f>
        <v>0</v>
      </c>
      <c r="I61" s="97">
        <f>'ATTIVO PATR'!I61-'ATTIVO PATR'!V61-'ATTIVO PATR'!W61-'ATTIVO PATR'!AH61</f>
        <v>1543.0300000011921</v>
      </c>
      <c r="J61" s="97">
        <f>'ATTIVO PATR'!J61-'ATTIVO PATR'!Y61-'ATTIVO PATR'!Z61-'ATTIVO PATR'!AD61</f>
        <v>0</v>
      </c>
      <c r="K61" s="97">
        <f>'ATTIVO PATR'!K61-'ATTIVO PATR'!AB61-'ATTIVO PATR'!AC61-'ATTIVO PATR'!AF61</f>
        <v>0</v>
      </c>
      <c r="L61" s="257">
        <f t="shared" si="10"/>
        <v>2202374.2800000012</v>
      </c>
    </row>
    <row r="62" spans="1:12" x14ac:dyDescent="0.2">
      <c r="A62" s="93"/>
      <c r="B62" s="94"/>
      <c r="C62" s="95" t="s">
        <v>30</v>
      </c>
      <c r="D62" s="122" t="s">
        <v>88</v>
      </c>
      <c r="E62" s="96">
        <f>'ATTIVO PATR'!E62-'ATTIVO PATR'!L62-'ATTIVO PATR'!O62-'ATTIVO PATR'!R62-'ATTIVO PATR'!U62-'ATTIVO PATR'!X62-'ATTIVO PATR'!AA62</f>
        <v>0</v>
      </c>
      <c r="F62" s="97">
        <f>'ATTIVO PATR'!F62-'ATTIVO PATR'!M62-'ATTIVO PATR'!N62</f>
        <v>0</v>
      </c>
      <c r="G62" s="97">
        <f>'ATTIVO PATR'!G62-'ATTIVO PATR'!P62-'ATTIVO PATR'!Q62</f>
        <v>0</v>
      </c>
      <c r="H62" s="97">
        <f>'ATTIVO PATR'!H62-'ATTIVO PATR'!S62-'ATTIVO PATR'!T62-'ATTIVO PATR'!AI62-'ATTIVO PATR'!AE62-'ATTIVO PATR'!AG62</f>
        <v>2764250</v>
      </c>
      <c r="I62" s="97">
        <f>'ATTIVO PATR'!I62-'ATTIVO PATR'!V62-'ATTIVO PATR'!W62-'ATTIVO PATR'!AH62</f>
        <v>0</v>
      </c>
      <c r="J62" s="97">
        <f>'ATTIVO PATR'!J62-'ATTIVO PATR'!Y62-'ATTIVO PATR'!Z62-'ATTIVO PATR'!AD62</f>
        <v>1868099.8500000015</v>
      </c>
      <c r="K62" s="97">
        <f>'ATTIVO PATR'!K62-'ATTIVO PATR'!AB62-'ATTIVO PATR'!AC62-'ATTIVO PATR'!AF62</f>
        <v>0</v>
      </c>
      <c r="L62" s="257">
        <f t="shared" si="10"/>
        <v>4632349.8500000015</v>
      </c>
    </row>
    <row r="63" spans="1:12" x14ac:dyDescent="0.2">
      <c r="A63" s="93"/>
      <c r="B63" s="94"/>
      <c r="C63" s="95" t="s">
        <v>31</v>
      </c>
      <c r="D63" s="50" t="s">
        <v>104</v>
      </c>
      <c r="E63" s="96">
        <f>'ATTIVO PATR'!E63-'ATTIVO PATR'!L63-'ATTIVO PATR'!O63-'ATTIVO PATR'!R63-'ATTIVO PATR'!U63-'ATTIVO PATR'!X63-'ATTIVO PATR'!AA63</f>
        <v>0</v>
      </c>
      <c r="F63" s="97">
        <f>'ATTIVO PATR'!F63-'ATTIVO PATR'!M63-'ATTIVO PATR'!N63</f>
        <v>0</v>
      </c>
      <c r="G63" s="97">
        <f>'ATTIVO PATR'!G63-'ATTIVO PATR'!P63-'ATTIVO PATR'!Q63</f>
        <v>0</v>
      </c>
      <c r="H63" s="97">
        <f>'ATTIVO PATR'!H63-'ATTIVO PATR'!S63-'ATTIVO PATR'!T63-'ATTIVO PATR'!AI63-'ATTIVO PATR'!AE63-'ATTIVO PATR'!AG63</f>
        <v>122.84999999999991</v>
      </c>
      <c r="I63" s="97">
        <f>'ATTIVO PATR'!I63-'ATTIVO PATR'!V63-'ATTIVO PATR'!W63-'ATTIVO PATR'!AH63</f>
        <v>0</v>
      </c>
      <c r="J63" s="97">
        <f>'ATTIVO PATR'!J63-'ATTIVO PATR'!Y63-'ATTIVO PATR'!Z63-'ATTIVO PATR'!AD63</f>
        <v>0</v>
      </c>
      <c r="K63" s="97">
        <f>'ATTIVO PATR'!K63-'ATTIVO PATR'!AB63-'ATTIVO PATR'!AC63-'ATTIVO PATR'!AF63</f>
        <v>0</v>
      </c>
      <c r="L63" s="257">
        <f t="shared" si="10"/>
        <v>122.84999999999991</v>
      </c>
    </row>
    <row r="64" spans="1:12" x14ac:dyDescent="0.2">
      <c r="A64" s="93"/>
      <c r="B64" s="94"/>
      <c r="C64" s="95" t="s">
        <v>32</v>
      </c>
      <c r="D64" s="122" t="s">
        <v>107</v>
      </c>
      <c r="E64" s="96">
        <f>'ATTIVO PATR'!E64-'ATTIVO PATR'!L64-'ATTIVO PATR'!O64-'ATTIVO PATR'!R64-'ATTIVO PATR'!U64-'ATTIVO PATR'!X64-'ATTIVO PATR'!AA64</f>
        <v>0</v>
      </c>
      <c r="F64" s="97">
        <f>'ATTIVO PATR'!F64-'ATTIVO PATR'!M64-'ATTIVO PATR'!N64</f>
        <v>0</v>
      </c>
      <c r="G64" s="97">
        <f>'ATTIVO PATR'!G64-'ATTIVO PATR'!P64-'ATTIVO PATR'!Q64</f>
        <v>0</v>
      </c>
      <c r="H64" s="97">
        <f>'ATTIVO PATR'!H64-'ATTIVO PATR'!S64-'ATTIVO PATR'!T64-'ATTIVO PATR'!AI64-'ATTIVO PATR'!AE64-'ATTIVO PATR'!AG64</f>
        <v>0</v>
      </c>
      <c r="I64" s="97">
        <f>'ATTIVO PATR'!I64-'ATTIVO PATR'!V64-'ATTIVO PATR'!W64-'ATTIVO PATR'!AH64</f>
        <v>0</v>
      </c>
      <c r="J64" s="97">
        <f>'ATTIVO PATR'!J64-'ATTIVO PATR'!Y64-'ATTIVO PATR'!Z64-'ATTIVO PATR'!AD64</f>
        <v>0</v>
      </c>
      <c r="K64" s="97">
        <f>'ATTIVO PATR'!K64-'ATTIVO PATR'!AB64-'ATTIVO PATR'!AC64-'ATTIVO PATR'!AF64</f>
        <v>0</v>
      </c>
      <c r="L64" s="257">
        <f t="shared" si="10"/>
        <v>0</v>
      </c>
    </row>
    <row r="65" spans="1:12" x14ac:dyDescent="0.2">
      <c r="A65" s="93"/>
      <c r="B65" s="94">
        <v>3</v>
      </c>
      <c r="C65" s="95"/>
      <c r="D65" s="105" t="s">
        <v>78</v>
      </c>
      <c r="E65" s="96">
        <f>'ATTIVO PATR'!E65-'ATTIVO PATR'!L65-'ATTIVO PATR'!O65-'ATTIVO PATR'!R65-'ATTIVO PATR'!U65-'ATTIVO PATR'!X65-'ATTIVO PATR'!AA65</f>
        <v>9547.17</v>
      </c>
      <c r="F65" s="97">
        <f>'ATTIVO PATR'!F65-'ATTIVO PATR'!M65-'ATTIVO PATR'!N65</f>
        <v>0</v>
      </c>
      <c r="G65" s="97">
        <f>'ATTIVO PATR'!G65-'ATTIVO PATR'!P65-'ATTIVO PATR'!Q65</f>
        <v>627389.09731268883</v>
      </c>
      <c r="H65" s="97">
        <f>'ATTIVO PATR'!H65-'ATTIVO PATR'!S65-'ATTIVO PATR'!T65-'ATTIVO PATR'!AI65-'ATTIVO PATR'!AE65-'ATTIVO PATR'!AG65</f>
        <v>589462</v>
      </c>
      <c r="I65" s="97">
        <f>'ATTIVO PATR'!I65-'ATTIVO PATR'!V65-'ATTIVO PATR'!W65-'ATTIVO PATR'!AH65</f>
        <v>0</v>
      </c>
      <c r="J65" s="97">
        <f>'ATTIVO PATR'!J65-'ATTIVO PATR'!Y65-'ATTIVO PATR'!Z65-'ATTIVO PATR'!AD65</f>
        <v>1060098.056499999</v>
      </c>
      <c r="K65" s="97">
        <f>'ATTIVO PATR'!K65-'ATTIVO PATR'!AB65-'ATTIVO PATR'!AC65-'ATTIVO PATR'!AF65</f>
        <v>0</v>
      </c>
      <c r="L65" s="257">
        <f t="shared" si="10"/>
        <v>2286496.3238126878</v>
      </c>
    </row>
    <row r="66" spans="1:12" x14ac:dyDescent="0.2">
      <c r="A66" s="93"/>
      <c r="B66" s="94">
        <v>4</v>
      </c>
      <c r="C66" s="95"/>
      <c r="D66" s="12" t="s">
        <v>155</v>
      </c>
      <c r="E66" s="96">
        <f>'ATTIVO PATR'!E66-'ATTIVO PATR'!L66-'ATTIVO PATR'!O66-'ATTIVO PATR'!R66-'ATTIVO PATR'!U66-'ATTIVO PATR'!X66-'ATTIVO PATR'!AA66</f>
        <v>84014.95</v>
      </c>
      <c r="F66" s="97">
        <f>'ATTIVO PATR'!F66-'ATTIVO PATR'!M66-'ATTIVO PATR'!N66</f>
        <v>0</v>
      </c>
      <c r="G66" s="97">
        <f>'ATTIVO PATR'!G66-'ATTIVO PATR'!P66-'ATTIVO PATR'!Q66</f>
        <v>63662.009999997914</v>
      </c>
      <c r="H66" s="97">
        <f>'ATTIVO PATR'!H66-'ATTIVO PATR'!S66-'ATTIVO PATR'!T66-'ATTIVO PATR'!AI66-'ATTIVO PATR'!AE66-'ATTIVO PATR'!AG66</f>
        <v>42084.099999999977</v>
      </c>
      <c r="I66" s="97">
        <f>'ATTIVO PATR'!I66-'ATTIVO PATR'!V66-'ATTIVO PATR'!W66-'ATTIVO PATR'!AH66</f>
        <v>3.0299999999988358</v>
      </c>
      <c r="J66" s="97">
        <f>'ATTIVO PATR'!J66-'ATTIVO PATR'!Y66-'ATTIVO PATR'!Z66-'ATTIVO PATR'!AD66</f>
        <v>427973.25</v>
      </c>
      <c r="K66" s="97">
        <f>'ATTIVO PATR'!K66-'ATTIVO PATR'!AB66-'ATTIVO PATR'!AC66-'ATTIVO PATR'!AF66</f>
        <v>0</v>
      </c>
      <c r="L66" s="257">
        <f t="shared" si="10"/>
        <v>617737.33999999787</v>
      </c>
    </row>
    <row r="67" spans="1:12" x14ac:dyDescent="0.2">
      <c r="A67" s="93"/>
      <c r="B67" s="94"/>
      <c r="C67" s="95" t="s">
        <v>29</v>
      </c>
      <c r="D67" s="122" t="s">
        <v>143</v>
      </c>
      <c r="E67" s="96">
        <f>'ATTIVO PATR'!E67-'ATTIVO PATR'!L67-'ATTIVO PATR'!O67-'ATTIVO PATR'!R67-'ATTIVO PATR'!U67-'ATTIVO PATR'!X67-'ATTIVO PATR'!AA67</f>
        <v>44829</v>
      </c>
      <c r="F67" s="97">
        <f>'ATTIVO PATR'!F67-'ATTIVO PATR'!M67-'ATTIVO PATR'!N67</f>
        <v>0</v>
      </c>
      <c r="G67" s="97">
        <f>'ATTIVO PATR'!G67-'ATTIVO PATR'!P67-'ATTIVO PATR'!Q67</f>
        <v>57774.869999997318</v>
      </c>
      <c r="H67" s="97">
        <f>'ATTIVO PATR'!H67-'ATTIVO PATR'!S67-'ATTIVO PATR'!T67-'ATTIVO PATR'!AI67-'ATTIVO PATR'!AE67-'ATTIVO PATR'!AG67</f>
        <v>33125.849999999977</v>
      </c>
      <c r="I67" s="97">
        <f>'ATTIVO PATR'!I67-'ATTIVO PATR'!V67-'ATTIVO PATR'!W67-'ATTIVO PATR'!AH67</f>
        <v>0</v>
      </c>
      <c r="J67" s="97">
        <f>'ATTIVO PATR'!J67-'ATTIVO PATR'!Y67-'ATTIVO PATR'!Z67-'ATTIVO PATR'!AD67</f>
        <v>142130.60000000009</v>
      </c>
      <c r="K67" s="97">
        <f>'ATTIVO PATR'!K67-'ATTIVO PATR'!AB67-'ATTIVO PATR'!AC67-'ATTIVO PATR'!AF67</f>
        <v>0</v>
      </c>
      <c r="L67" s="257">
        <f t="shared" si="10"/>
        <v>277860.31999999739</v>
      </c>
    </row>
    <row r="68" spans="1:12" x14ac:dyDescent="0.2">
      <c r="A68" s="93"/>
      <c r="B68" s="94"/>
      <c r="C68" s="95" t="s">
        <v>30</v>
      </c>
      <c r="D68" s="122" t="s">
        <v>144</v>
      </c>
      <c r="E68" s="96">
        <f>'ATTIVO PATR'!E68-'ATTIVO PATR'!L68-'ATTIVO PATR'!O68-'ATTIVO PATR'!R68-'ATTIVO PATR'!U68-'ATTIVO PATR'!X68-'ATTIVO PATR'!AA68</f>
        <v>0</v>
      </c>
      <c r="F68" s="97">
        <f>'ATTIVO PATR'!F68-'ATTIVO PATR'!M68-'ATTIVO PATR'!N68</f>
        <v>0</v>
      </c>
      <c r="G68" s="97">
        <f>'ATTIVO PATR'!G68-'ATTIVO PATR'!P68-'ATTIVO PATR'!Q68</f>
        <v>1451.4899999999907</v>
      </c>
      <c r="H68" s="97">
        <f>'ATTIVO PATR'!H68-'ATTIVO PATR'!S68-'ATTIVO PATR'!T68-'ATTIVO PATR'!AI68-'ATTIVO PATR'!AE68-'ATTIVO PATR'!AG68</f>
        <v>0</v>
      </c>
      <c r="I68" s="97">
        <f>'ATTIVO PATR'!I68-'ATTIVO PATR'!V68-'ATTIVO PATR'!W68-'ATTIVO PATR'!AH68</f>
        <v>0</v>
      </c>
      <c r="J68" s="97">
        <f>'ATTIVO PATR'!J68-'ATTIVO PATR'!Y68-'ATTIVO PATR'!Z68-'ATTIVO PATR'!AD68</f>
        <v>0</v>
      </c>
      <c r="K68" s="97">
        <f>'ATTIVO PATR'!K68-'ATTIVO PATR'!AB68-'ATTIVO PATR'!AC68-'ATTIVO PATR'!AF68</f>
        <v>0</v>
      </c>
      <c r="L68" s="257">
        <f t="shared" si="10"/>
        <v>1451.4899999999907</v>
      </c>
    </row>
    <row r="69" spans="1:12" x14ac:dyDescent="0.2">
      <c r="A69" s="93"/>
      <c r="B69" s="94"/>
      <c r="C69" s="95" t="s">
        <v>31</v>
      </c>
      <c r="D69" s="50" t="s">
        <v>62</v>
      </c>
      <c r="E69" s="96">
        <f>'ATTIVO PATR'!E69-'ATTIVO PATR'!L69-'ATTIVO PATR'!O69-'ATTIVO PATR'!R69-'ATTIVO PATR'!U69-'ATTIVO PATR'!X69-'ATTIVO PATR'!AA69</f>
        <v>39185.949999999997</v>
      </c>
      <c r="F69" s="97">
        <f>'ATTIVO PATR'!F69-'ATTIVO PATR'!M69-'ATTIVO PATR'!N69</f>
        <v>0</v>
      </c>
      <c r="G69" s="97">
        <f>'ATTIVO PATR'!G69-'ATTIVO PATR'!P69-'ATTIVO PATR'!Q69</f>
        <v>4435.6500000003725</v>
      </c>
      <c r="H69" s="97">
        <f>'ATTIVO PATR'!H69-'ATTIVO PATR'!S69-'ATTIVO PATR'!T69-'ATTIVO PATR'!AI69-'ATTIVO PATR'!AE69-'ATTIVO PATR'!AG69</f>
        <v>8958.25</v>
      </c>
      <c r="I69" s="97">
        <f>'ATTIVO PATR'!I69-'ATTIVO PATR'!V69-'ATTIVO PATR'!W69-'ATTIVO PATR'!AH69</f>
        <v>3.0299999999988358</v>
      </c>
      <c r="J69" s="97">
        <f>'ATTIVO PATR'!J69-'ATTIVO PATR'!Y69-'ATTIVO PATR'!Z69-'ATTIVO PATR'!AD69</f>
        <v>285842.65000000037</v>
      </c>
      <c r="K69" s="97">
        <f>'ATTIVO PATR'!K69-'ATTIVO PATR'!AB69-'ATTIVO PATR'!AC69-'ATTIVO PATR'!AF69</f>
        <v>0</v>
      </c>
      <c r="L69" s="257">
        <f t="shared" si="10"/>
        <v>338425.53000000073</v>
      </c>
    </row>
    <row r="70" spans="1:12" x14ac:dyDescent="0.2">
      <c r="A70" s="93"/>
      <c r="B70" s="94"/>
      <c r="C70" s="95"/>
      <c r="D70" s="73" t="s">
        <v>181</v>
      </c>
      <c r="E70" s="131">
        <f>E56+E60+E65+E66</f>
        <v>3553933.42</v>
      </c>
      <c r="F70" s="131">
        <f t="shared" ref="F70:L70" si="11">F56+F60+F65+F66</f>
        <v>0</v>
      </c>
      <c r="G70" s="131">
        <f t="shared" si="11"/>
        <v>691051.10731268674</v>
      </c>
      <c r="H70" s="131">
        <f t="shared" si="11"/>
        <v>3395918.9500000016</v>
      </c>
      <c r="I70" s="131">
        <f t="shared" si="11"/>
        <v>1546.0600000011909</v>
      </c>
      <c r="J70" s="131">
        <f t="shared" si="11"/>
        <v>3356171.1565000005</v>
      </c>
      <c r="K70" s="131">
        <f t="shared" si="11"/>
        <v>0</v>
      </c>
      <c r="L70" s="278">
        <f t="shared" si="11"/>
        <v>10998620.693812689</v>
      </c>
    </row>
    <row r="71" spans="1:12" x14ac:dyDescent="0.2">
      <c r="A71" s="93"/>
      <c r="B71" s="94"/>
      <c r="C71" s="95"/>
      <c r="D71" s="13"/>
      <c r="E71" s="102"/>
      <c r="F71" s="103"/>
      <c r="G71" s="103"/>
      <c r="H71" s="103"/>
      <c r="I71" s="103"/>
      <c r="J71" s="103"/>
      <c r="K71" s="103"/>
      <c r="L71" s="257"/>
    </row>
    <row r="72" spans="1:12" x14ac:dyDescent="0.2">
      <c r="A72" s="93" t="s">
        <v>44</v>
      </c>
      <c r="B72" s="94"/>
      <c r="C72" s="95"/>
      <c r="D72" s="49" t="s">
        <v>60</v>
      </c>
      <c r="E72" s="102"/>
      <c r="F72" s="103"/>
      <c r="G72" s="103"/>
      <c r="H72" s="103"/>
      <c r="I72" s="103"/>
      <c r="J72" s="103"/>
      <c r="K72" s="103"/>
      <c r="L72" s="257"/>
    </row>
    <row r="73" spans="1:12" x14ac:dyDescent="0.2">
      <c r="A73" s="93"/>
      <c r="B73" s="94">
        <v>1</v>
      </c>
      <c r="C73" s="95"/>
      <c r="D73" s="105" t="s">
        <v>79</v>
      </c>
      <c r="E73" s="96">
        <f>'ATTIVO PATR'!E73-'ATTIVO PATR'!L73-'ATTIVO PATR'!O73-'ATTIVO PATR'!R73-'ATTIVO PATR'!U73-'ATTIVO PATR'!X73-'ATTIVO PATR'!AA73</f>
        <v>0</v>
      </c>
      <c r="F73" s="97">
        <f>'ATTIVO PATR'!F73-'ATTIVO PATR'!M73-'ATTIVO PATR'!N73</f>
        <v>0</v>
      </c>
      <c r="G73" s="97">
        <f>'ATTIVO PATR'!G73-'ATTIVO PATR'!P73-'ATTIVO PATR'!Q73</f>
        <v>0</v>
      </c>
      <c r="H73" s="97">
        <f>'ATTIVO PATR'!H73-'ATTIVO PATR'!S73-'ATTIVO PATR'!T73-'ATTIVO PATR'!AI73-'ATTIVO PATR'!AE73-'ATTIVO PATR'!AG73</f>
        <v>0</v>
      </c>
      <c r="I73" s="97">
        <f>'ATTIVO PATR'!I73-'ATTIVO PATR'!V73-'ATTIVO PATR'!W73-'ATTIVO PATR'!AH73</f>
        <v>0</v>
      </c>
      <c r="J73" s="97">
        <f>'ATTIVO PATR'!J73-'ATTIVO PATR'!Y73-'ATTIVO PATR'!Z73-'ATTIVO PATR'!AD73</f>
        <v>0</v>
      </c>
      <c r="K73" s="97">
        <f>'ATTIVO PATR'!K73-'ATTIVO PATR'!AB73-'ATTIVO PATR'!AC73-'ATTIVO PATR'!AF73</f>
        <v>0</v>
      </c>
      <c r="L73" s="257">
        <f t="shared" ref="L73:L74" si="12">SUM(E73:K73)</f>
        <v>0</v>
      </c>
    </row>
    <row r="74" spans="1:12" x14ac:dyDescent="0.2">
      <c r="A74" s="93"/>
      <c r="B74" s="94">
        <v>2</v>
      </c>
      <c r="C74" s="95"/>
      <c r="D74" s="105" t="s">
        <v>80</v>
      </c>
      <c r="E74" s="96">
        <f>'ATTIVO PATR'!E74-'ATTIVO PATR'!L74-'ATTIVO PATR'!O74-'ATTIVO PATR'!R74-'ATTIVO PATR'!U74-'ATTIVO PATR'!X74-'ATTIVO PATR'!AA74</f>
        <v>0</v>
      </c>
      <c r="F74" s="97">
        <f>'ATTIVO PATR'!F74-'ATTIVO PATR'!M74-'ATTIVO PATR'!N74</f>
        <v>0</v>
      </c>
      <c r="G74" s="97">
        <f>'ATTIVO PATR'!G74-'ATTIVO PATR'!P74-'ATTIVO PATR'!Q74</f>
        <v>0</v>
      </c>
      <c r="H74" s="97">
        <f>'ATTIVO PATR'!H74-'ATTIVO PATR'!S74-'ATTIVO PATR'!T74-'ATTIVO PATR'!AI74-'ATTIVO PATR'!AE74-'ATTIVO PATR'!AG74</f>
        <v>0</v>
      </c>
      <c r="I74" s="97">
        <f>'ATTIVO PATR'!I74-'ATTIVO PATR'!V74-'ATTIVO PATR'!W74-'ATTIVO PATR'!AH74</f>
        <v>0</v>
      </c>
      <c r="J74" s="97">
        <f>'ATTIVO PATR'!J74-'ATTIVO PATR'!Y74-'ATTIVO PATR'!Z74-'ATTIVO PATR'!AD74</f>
        <v>0</v>
      </c>
      <c r="K74" s="97">
        <f>'ATTIVO PATR'!K74-'ATTIVO PATR'!AB74-'ATTIVO PATR'!AC74-'ATTIVO PATR'!AF74</f>
        <v>0</v>
      </c>
      <c r="L74" s="257">
        <f t="shared" si="12"/>
        <v>0</v>
      </c>
    </row>
    <row r="75" spans="1:12" x14ac:dyDescent="0.2">
      <c r="A75" s="93"/>
      <c r="B75" s="94"/>
      <c r="C75" s="95"/>
      <c r="D75" s="73" t="s">
        <v>182</v>
      </c>
      <c r="E75" s="131">
        <f>E73+E74</f>
        <v>0</v>
      </c>
      <c r="F75" s="131">
        <f t="shared" ref="F75:L75" si="13">F73+F74</f>
        <v>0</v>
      </c>
      <c r="G75" s="131">
        <f t="shared" si="13"/>
        <v>0</v>
      </c>
      <c r="H75" s="131">
        <f t="shared" si="13"/>
        <v>0</v>
      </c>
      <c r="I75" s="131">
        <f t="shared" si="13"/>
        <v>0</v>
      </c>
      <c r="J75" s="131">
        <f t="shared" si="13"/>
        <v>0</v>
      </c>
      <c r="K75" s="131">
        <f t="shared" si="13"/>
        <v>0</v>
      </c>
      <c r="L75" s="278">
        <f t="shared" si="13"/>
        <v>0</v>
      </c>
    </row>
    <row r="76" spans="1:12" x14ac:dyDescent="0.2">
      <c r="A76" s="93"/>
      <c r="B76" s="94"/>
      <c r="C76" s="95"/>
      <c r="D76" s="13"/>
      <c r="E76" s="102"/>
      <c r="F76" s="103"/>
      <c r="G76" s="103"/>
      <c r="H76" s="103"/>
      <c r="I76" s="103"/>
      <c r="J76" s="103"/>
      <c r="K76" s="103"/>
      <c r="L76" s="257"/>
    </row>
    <row r="77" spans="1:12" x14ac:dyDescent="0.2">
      <c r="A77" s="93" t="s">
        <v>45</v>
      </c>
      <c r="B77" s="94"/>
      <c r="C77" s="95"/>
      <c r="D77" s="104" t="s">
        <v>61</v>
      </c>
      <c r="E77" s="102"/>
      <c r="F77" s="103"/>
      <c r="G77" s="103"/>
      <c r="H77" s="103"/>
      <c r="I77" s="103"/>
      <c r="J77" s="103"/>
      <c r="K77" s="103"/>
      <c r="L77" s="257"/>
    </row>
    <row r="78" spans="1:12" x14ac:dyDescent="0.2">
      <c r="A78" s="93"/>
      <c r="B78" s="94">
        <v>1</v>
      </c>
      <c r="C78" s="95"/>
      <c r="D78" s="105" t="s">
        <v>95</v>
      </c>
      <c r="E78" s="96">
        <f>'ATTIVO PATR'!E78-'ATTIVO PATR'!L78-'ATTIVO PATR'!O78-'ATTIVO PATR'!R78-'ATTIVO PATR'!U78-'ATTIVO PATR'!X78-'ATTIVO PATR'!AA78</f>
        <v>35405293.850000001</v>
      </c>
      <c r="F78" s="97">
        <f>'ATTIVO PATR'!F78-'ATTIVO PATR'!M78-'ATTIVO PATR'!N78</f>
        <v>0</v>
      </c>
      <c r="G78" s="97">
        <f>'ATTIVO PATR'!G78-'ATTIVO PATR'!P78-'ATTIVO PATR'!Q78</f>
        <v>0</v>
      </c>
      <c r="H78" s="97">
        <f>'ATTIVO PATR'!H78-'ATTIVO PATR'!S78-'ATTIVO PATR'!T78-'ATTIVO PATR'!AI78-'ATTIVO PATR'!AE78-'ATTIVO PATR'!AG78</f>
        <v>0</v>
      </c>
      <c r="I78" s="97">
        <f>'ATTIVO PATR'!I78-'ATTIVO PATR'!V78-'ATTIVO PATR'!W78-'ATTIVO PATR'!AH78</f>
        <v>1703.9699999988079</v>
      </c>
      <c r="J78" s="97">
        <f>'ATTIVO PATR'!J78-'ATTIVO PATR'!Y78-'ATTIVO PATR'!Z78-'ATTIVO PATR'!AD78</f>
        <v>0</v>
      </c>
      <c r="K78" s="97">
        <f>'ATTIVO PATR'!K78-'ATTIVO PATR'!AB78-'ATTIVO PATR'!AC78-'ATTIVO PATR'!AF78</f>
        <v>0</v>
      </c>
      <c r="L78" s="257">
        <f t="shared" ref="L78:L83" si="14">SUM(E78:K78)</f>
        <v>35406997.82</v>
      </c>
    </row>
    <row r="79" spans="1:12" x14ac:dyDescent="0.2">
      <c r="A79" s="93"/>
      <c r="B79" s="94"/>
      <c r="C79" s="95" t="s">
        <v>29</v>
      </c>
      <c r="D79" s="122" t="s">
        <v>27</v>
      </c>
      <c r="E79" s="96">
        <f>'ATTIVO PATR'!E79-'ATTIVO PATR'!L79-'ATTIVO PATR'!O79-'ATTIVO PATR'!R79-'ATTIVO PATR'!U79-'ATTIVO PATR'!X79-'ATTIVO PATR'!AA79</f>
        <v>35405293.850000001</v>
      </c>
      <c r="F79" s="97">
        <f>'ATTIVO PATR'!F79-'ATTIVO PATR'!M79-'ATTIVO PATR'!N79</f>
        <v>0</v>
      </c>
      <c r="G79" s="97">
        <f>'ATTIVO PATR'!G79-'ATTIVO PATR'!P79-'ATTIVO PATR'!Q79</f>
        <v>0</v>
      </c>
      <c r="H79" s="97">
        <f>'ATTIVO PATR'!H79-'ATTIVO PATR'!S79-'ATTIVO PATR'!T79-'ATTIVO PATR'!AI79-'ATTIVO PATR'!AE79-'ATTIVO PATR'!AG79</f>
        <v>0</v>
      </c>
      <c r="I79" s="97">
        <f>'ATTIVO PATR'!I79-'ATTIVO PATR'!V79-'ATTIVO PATR'!W79-'ATTIVO PATR'!AH79</f>
        <v>1703.9699999988079</v>
      </c>
      <c r="J79" s="97">
        <f>'ATTIVO PATR'!J79-'ATTIVO PATR'!Y79-'ATTIVO PATR'!Z79-'ATTIVO PATR'!AD79</f>
        <v>0</v>
      </c>
      <c r="K79" s="97">
        <f>'ATTIVO PATR'!K79-'ATTIVO PATR'!AB79-'ATTIVO PATR'!AC79-'ATTIVO PATR'!AF79</f>
        <v>0</v>
      </c>
      <c r="L79" s="257">
        <f t="shared" si="14"/>
        <v>35406997.82</v>
      </c>
    </row>
    <row r="80" spans="1:12" x14ac:dyDescent="0.2">
      <c r="A80" s="93"/>
      <c r="B80" s="94"/>
      <c r="C80" s="95" t="s">
        <v>30</v>
      </c>
      <c r="D80" s="122" t="s">
        <v>156</v>
      </c>
      <c r="E80" s="96">
        <f>'ATTIVO PATR'!E80-'ATTIVO PATR'!L80-'ATTIVO PATR'!O80-'ATTIVO PATR'!R80-'ATTIVO PATR'!U80-'ATTIVO PATR'!X80-'ATTIVO PATR'!AA80</f>
        <v>0</v>
      </c>
      <c r="F80" s="97">
        <f>'ATTIVO PATR'!F80-'ATTIVO PATR'!M80-'ATTIVO PATR'!N80</f>
        <v>0</v>
      </c>
      <c r="G80" s="97">
        <f>'ATTIVO PATR'!G80-'ATTIVO PATR'!P80-'ATTIVO PATR'!Q80</f>
        <v>0</v>
      </c>
      <c r="H80" s="97">
        <f>'ATTIVO PATR'!H80-'ATTIVO PATR'!S80-'ATTIVO PATR'!T80-'ATTIVO PATR'!AI80-'ATTIVO PATR'!AE80-'ATTIVO PATR'!AG80</f>
        <v>0</v>
      </c>
      <c r="I80" s="97">
        <f>'ATTIVO PATR'!I80-'ATTIVO PATR'!V80-'ATTIVO PATR'!W80-'ATTIVO PATR'!AH80</f>
        <v>0</v>
      </c>
      <c r="J80" s="97">
        <f>'ATTIVO PATR'!J80-'ATTIVO PATR'!Y80-'ATTIVO PATR'!Z80-'ATTIVO PATR'!AD80</f>
        <v>0</v>
      </c>
      <c r="K80" s="97">
        <f>'ATTIVO PATR'!K80-'ATTIVO PATR'!AB80-'ATTIVO PATR'!AC80-'ATTIVO PATR'!AF80</f>
        <v>0</v>
      </c>
      <c r="L80" s="257">
        <f t="shared" si="14"/>
        <v>0</v>
      </c>
    </row>
    <row r="81" spans="1:12" x14ac:dyDescent="0.2">
      <c r="A81" s="93"/>
      <c r="B81" s="94">
        <v>2</v>
      </c>
      <c r="C81" s="95"/>
      <c r="D81" s="105" t="s">
        <v>96</v>
      </c>
      <c r="E81" s="96">
        <f>'ATTIVO PATR'!E81-'ATTIVO PATR'!L81-'ATTIVO PATR'!O81-'ATTIVO PATR'!R81-'ATTIVO PATR'!U81-'ATTIVO PATR'!X81-'ATTIVO PATR'!AA81</f>
        <v>4477.2299999999996</v>
      </c>
      <c r="F81" s="97">
        <f>'ATTIVO PATR'!F81-'ATTIVO PATR'!M81-'ATTIVO PATR'!N81</f>
        <v>0</v>
      </c>
      <c r="G81" s="97">
        <f>'ATTIVO PATR'!G81-'ATTIVO PATR'!P81-'ATTIVO PATR'!Q81</f>
        <v>107870.29999999702</v>
      </c>
      <c r="H81" s="97">
        <f>'ATTIVO PATR'!H81-'ATTIVO PATR'!S81-'ATTIVO PATR'!T81-'ATTIVO PATR'!AI81-'ATTIVO PATR'!AE81-'ATTIVO PATR'!AG81</f>
        <v>3478810.700000003</v>
      </c>
      <c r="I81" s="97">
        <f>'ATTIVO PATR'!I81-'ATTIVO PATR'!V81-'ATTIVO PATR'!W81-'ATTIVO PATR'!AH81</f>
        <v>9.9999999999909051E-3</v>
      </c>
      <c r="J81" s="97">
        <f>'ATTIVO PATR'!J81-'ATTIVO PATR'!Y81-'ATTIVO PATR'!Z81-'ATTIVO PATR'!AD81</f>
        <v>356940.20000000019</v>
      </c>
      <c r="K81" s="97">
        <f>'ATTIVO PATR'!K81-'ATTIVO PATR'!AB81-'ATTIVO PATR'!AC81-'ATTIVO PATR'!AF81</f>
        <v>0</v>
      </c>
      <c r="L81" s="257">
        <f t="shared" si="14"/>
        <v>3948098.44</v>
      </c>
    </row>
    <row r="82" spans="1:12" x14ac:dyDescent="0.2">
      <c r="A82" s="93"/>
      <c r="B82" s="94">
        <v>3</v>
      </c>
      <c r="C82" s="95"/>
      <c r="D82" s="74" t="s">
        <v>183</v>
      </c>
      <c r="E82" s="96">
        <f>'ATTIVO PATR'!E82-'ATTIVO PATR'!L82-'ATTIVO PATR'!O82-'ATTIVO PATR'!R82-'ATTIVO PATR'!U82-'ATTIVO PATR'!X82-'ATTIVO PATR'!AA82</f>
        <v>0</v>
      </c>
      <c r="F82" s="97">
        <f>'ATTIVO PATR'!F82-'ATTIVO PATR'!M82-'ATTIVO PATR'!N82</f>
        <v>0</v>
      </c>
      <c r="G82" s="97">
        <f>'ATTIVO PATR'!G82-'ATTIVO PATR'!P82-'ATTIVO PATR'!Q82</f>
        <v>8.4200000000000728</v>
      </c>
      <c r="H82" s="97">
        <f>'ATTIVO PATR'!H82-'ATTIVO PATR'!S82-'ATTIVO PATR'!T82-'ATTIVO PATR'!AI82-'ATTIVO PATR'!AE82-'ATTIVO PATR'!AG82</f>
        <v>42.399999999999977</v>
      </c>
      <c r="I82" s="97">
        <f>'ATTIVO PATR'!I82-'ATTIVO PATR'!V82-'ATTIVO PATR'!W82-'ATTIVO PATR'!AH82</f>
        <v>0.22999999999956344</v>
      </c>
      <c r="J82" s="97">
        <f>'ATTIVO PATR'!J82-'ATTIVO PATR'!Y82-'ATTIVO PATR'!Z82-'ATTIVO PATR'!AD82</f>
        <v>88.549999999999955</v>
      </c>
      <c r="K82" s="97">
        <f>'ATTIVO PATR'!K82-'ATTIVO PATR'!AB82-'ATTIVO PATR'!AC82-'ATTIVO PATR'!AF82</f>
        <v>0</v>
      </c>
      <c r="L82" s="257">
        <f t="shared" si="14"/>
        <v>139.59999999999957</v>
      </c>
    </row>
    <row r="83" spans="1:12" x14ac:dyDescent="0.2">
      <c r="A83" s="93"/>
      <c r="B83" s="107">
        <v>4</v>
      </c>
      <c r="C83" s="108"/>
      <c r="D83" s="75" t="s">
        <v>184</v>
      </c>
      <c r="E83" s="96">
        <f>'ATTIVO PATR'!E83-'ATTIVO PATR'!L83-'ATTIVO PATR'!O83-'ATTIVO PATR'!R83-'ATTIVO PATR'!U83-'ATTIVO PATR'!X83-'ATTIVO PATR'!AA83</f>
        <v>0</v>
      </c>
      <c r="F83" s="97">
        <f>'ATTIVO PATR'!F83-'ATTIVO PATR'!M83-'ATTIVO PATR'!N83</f>
        <v>0</v>
      </c>
      <c r="G83" s="97">
        <f>'ATTIVO PATR'!G83-'ATTIVO PATR'!P83-'ATTIVO PATR'!Q83</f>
        <v>0</v>
      </c>
      <c r="H83" s="97">
        <f>'ATTIVO PATR'!H83-'ATTIVO PATR'!S83-'ATTIVO PATR'!T83-'ATTIVO PATR'!AI83-'ATTIVO PATR'!AE83-'ATTIVO PATR'!AG83</f>
        <v>0</v>
      </c>
      <c r="I83" s="97">
        <f>'ATTIVO PATR'!I83-'ATTIVO PATR'!V83-'ATTIVO PATR'!W83-'ATTIVO PATR'!AH83</f>
        <v>0</v>
      </c>
      <c r="J83" s="97">
        <f>'ATTIVO PATR'!J83-'ATTIVO PATR'!Y83-'ATTIVO PATR'!Z83-'ATTIVO PATR'!AD83</f>
        <v>0</v>
      </c>
      <c r="K83" s="97">
        <f>'ATTIVO PATR'!K83-'ATTIVO PATR'!AB83-'ATTIVO PATR'!AC83-'ATTIVO PATR'!AF83</f>
        <v>0</v>
      </c>
      <c r="L83" s="257">
        <f t="shared" si="14"/>
        <v>0</v>
      </c>
    </row>
    <row r="84" spans="1:12" x14ac:dyDescent="0.2">
      <c r="A84" s="93"/>
      <c r="B84" s="94"/>
      <c r="C84" s="95"/>
      <c r="D84" s="73" t="s">
        <v>186</v>
      </c>
      <c r="E84" s="124">
        <f>E78+E81+E82+E83</f>
        <v>35409771.079999998</v>
      </c>
      <c r="F84" s="124">
        <f t="shared" ref="F84:L84" si="15">F78+F81+F82+F83</f>
        <v>0</v>
      </c>
      <c r="G84" s="124">
        <f t="shared" si="15"/>
        <v>107878.71999999702</v>
      </c>
      <c r="H84" s="124">
        <f t="shared" si="15"/>
        <v>3478853.1000000029</v>
      </c>
      <c r="I84" s="124">
        <f t="shared" si="15"/>
        <v>1704.2099999988075</v>
      </c>
      <c r="J84" s="124">
        <f t="shared" si="15"/>
        <v>357028.75000000017</v>
      </c>
      <c r="K84" s="124">
        <f t="shared" si="15"/>
        <v>0</v>
      </c>
      <c r="L84" s="276">
        <f t="shared" si="15"/>
        <v>39355235.859999999</v>
      </c>
    </row>
    <row r="85" spans="1:12" x14ac:dyDescent="0.2">
      <c r="A85" s="93"/>
      <c r="B85" s="94"/>
      <c r="C85" s="95"/>
      <c r="D85" s="52" t="s">
        <v>76</v>
      </c>
      <c r="E85" s="129">
        <f>E54+E70+E75+E84</f>
        <v>38963704.5</v>
      </c>
      <c r="F85" s="129">
        <f t="shared" ref="F85:L85" si="16">F54+F70+F75+F84</f>
        <v>0</v>
      </c>
      <c r="G85" s="129">
        <f t="shared" si="16"/>
        <v>799059.54731268378</v>
      </c>
      <c r="H85" s="129">
        <f t="shared" si="16"/>
        <v>7722323.0500000045</v>
      </c>
      <c r="I85" s="129">
        <f t="shared" si="16"/>
        <v>3250.4799999999987</v>
      </c>
      <c r="J85" s="129">
        <f t="shared" si="16"/>
        <v>3916778.2565000006</v>
      </c>
      <c r="K85" s="129">
        <f t="shared" si="16"/>
        <v>0</v>
      </c>
      <c r="L85" s="277">
        <f t="shared" si="16"/>
        <v>51405115.833812684</v>
      </c>
    </row>
    <row r="86" spans="1:12" x14ac:dyDescent="0.2">
      <c r="A86" s="93"/>
      <c r="B86" s="94"/>
      <c r="C86" s="95"/>
      <c r="D86" s="105"/>
      <c r="E86" s="102"/>
      <c r="F86" s="103"/>
      <c r="G86" s="103"/>
      <c r="H86" s="103"/>
      <c r="I86" s="103"/>
      <c r="J86" s="103"/>
      <c r="K86" s="103"/>
      <c r="L86" s="257"/>
    </row>
    <row r="87" spans="1:12" x14ac:dyDescent="0.2">
      <c r="A87" s="93"/>
      <c r="B87" s="94"/>
      <c r="C87" s="95"/>
      <c r="D87" s="132" t="s">
        <v>46</v>
      </c>
      <c r="E87" s="102"/>
      <c r="F87" s="103"/>
      <c r="G87" s="103"/>
      <c r="H87" s="103"/>
      <c r="I87" s="103"/>
      <c r="J87" s="103"/>
      <c r="K87" s="103"/>
      <c r="L87" s="257"/>
    </row>
    <row r="88" spans="1:12" x14ac:dyDescent="0.2">
      <c r="A88" s="93" t="s">
        <v>0</v>
      </c>
      <c r="B88" s="94">
        <v>1</v>
      </c>
      <c r="C88" s="95"/>
      <c r="D88" s="105" t="s">
        <v>63</v>
      </c>
      <c r="E88" s="96">
        <f>'ATTIVO PATR'!E88-'ATTIVO PATR'!L88-'ATTIVO PATR'!O88-'ATTIVO PATR'!R88-'ATTIVO PATR'!U88-'ATTIVO PATR'!X88-'ATTIVO PATR'!AA88</f>
        <v>0</v>
      </c>
      <c r="F88" s="97">
        <f>'ATTIVO PATR'!F88-'ATTIVO PATR'!M88-'ATTIVO PATR'!N88</f>
        <v>0</v>
      </c>
      <c r="G88" s="97">
        <f>'ATTIVO PATR'!G88-'ATTIVO PATR'!P88-'ATTIVO PATR'!Q88</f>
        <v>0</v>
      </c>
      <c r="H88" s="97">
        <f>'ATTIVO PATR'!H88-'ATTIVO PATR'!S88-'ATTIVO PATR'!T88-'ATTIVO PATR'!AI88-'ATTIVO PATR'!AE88-'ATTIVO PATR'!AG88</f>
        <v>0</v>
      </c>
      <c r="I88" s="97">
        <f>'ATTIVO PATR'!I88-'ATTIVO PATR'!V88-'ATTIVO PATR'!W88-'ATTIVO PATR'!AH88</f>
        <v>0</v>
      </c>
      <c r="J88" s="97">
        <f>'ATTIVO PATR'!J88-'ATTIVO PATR'!Y88-'ATTIVO PATR'!Z88-'ATTIVO PATR'!AD88</f>
        <v>0</v>
      </c>
      <c r="K88" s="97">
        <f>'ATTIVO PATR'!K88-'ATTIVO PATR'!AB88-'ATTIVO PATR'!AC88-'ATTIVO PATR'!AF88</f>
        <v>0</v>
      </c>
      <c r="L88" s="257">
        <f t="shared" ref="L88:L89" si="17">SUM(E88:K88)</f>
        <v>0</v>
      </c>
    </row>
    <row r="89" spans="1:12" x14ac:dyDescent="0.2">
      <c r="A89" s="93" t="s">
        <v>0</v>
      </c>
      <c r="B89" s="94">
        <v>2</v>
      </c>
      <c r="C89" s="95"/>
      <c r="D89" s="105" t="s">
        <v>64</v>
      </c>
      <c r="E89" s="96">
        <f>'ATTIVO PATR'!E89-'ATTIVO PATR'!L89-'ATTIVO PATR'!O89-'ATTIVO PATR'!R89-'ATTIVO PATR'!U89-'ATTIVO PATR'!X89-'ATTIVO PATR'!AA89</f>
        <v>0</v>
      </c>
      <c r="F89" s="97">
        <f>'ATTIVO PATR'!F89-'ATTIVO PATR'!M89-'ATTIVO PATR'!N89</f>
        <v>0</v>
      </c>
      <c r="G89" s="97">
        <f>'ATTIVO PATR'!G89-'ATTIVO PATR'!P89-'ATTIVO PATR'!Q89</f>
        <v>438.65000000002328</v>
      </c>
      <c r="H89" s="97">
        <f>'ATTIVO PATR'!H89-'ATTIVO PATR'!S89-'ATTIVO PATR'!T89-'ATTIVO PATR'!AI89-'ATTIVO PATR'!AE89-'ATTIVO PATR'!AG89</f>
        <v>2466.5500000000029</v>
      </c>
      <c r="I89" s="97">
        <f>'ATTIVO PATR'!I89-'ATTIVO PATR'!V89-'ATTIVO PATR'!W89-'ATTIVO PATR'!AH89</f>
        <v>0.17000000000007276</v>
      </c>
      <c r="J89" s="97">
        <f>'ATTIVO PATR'!J89-'ATTIVO PATR'!Y89-'ATTIVO PATR'!Z89-'ATTIVO PATR'!AD89</f>
        <v>33919.650000000023</v>
      </c>
      <c r="K89" s="97">
        <f>'ATTIVO PATR'!K89-'ATTIVO PATR'!AB89-'ATTIVO PATR'!AC89-'ATTIVO PATR'!AF89</f>
        <v>0</v>
      </c>
      <c r="L89" s="257">
        <f t="shared" si="17"/>
        <v>36825.020000000048</v>
      </c>
    </row>
    <row r="90" spans="1:12" x14ac:dyDescent="0.2">
      <c r="A90" s="93"/>
      <c r="B90" s="94"/>
      <c r="C90" s="95"/>
      <c r="D90" s="52" t="s">
        <v>77</v>
      </c>
      <c r="E90" s="131">
        <f>E88+E89</f>
        <v>0</v>
      </c>
      <c r="F90" s="131">
        <f t="shared" ref="F90:L90" si="18">F88+F89</f>
        <v>0</v>
      </c>
      <c r="G90" s="131">
        <f t="shared" si="18"/>
        <v>438.65000000002328</v>
      </c>
      <c r="H90" s="131">
        <f t="shared" si="18"/>
        <v>2466.5500000000029</v>
      </c>
      <c r="I90" s="131">
        <f t="shared" si="18"/>
        <v>0.17000000000007276</v>
      </c>
      <c r="J90" s="131">
        <f t="shared" si="18"/>
        <v>33919.650000000023</v>
      </c>
      <c r="K90" s="131">
        <f t="shared" si="18"/>
        <v>0</v>
      </c>
      <c r="L90" s="278">
        <f t="shared" si="18"/>
        <v>36825.020000000048</v>
      </c>
    </row>
    <row r="91" spans="1:12" x14ac:dyDescent="0.2">
      <c r="A91" s="93"/>
      <c r="B91" s="94"/>
      <c r="C91" s="95"/>
      <c r="D91" s="13"/>
      <c r="E91" s="120"/>
      <c r="F91" s="120"/>
      <c r="G91" s="120"/>
      <c r="H91" s="120"/>
      <c r="I91" s="120"/>
      <c r="J91" s="120"/>
      <c r="K91" s="120"/>
      <c r="L91" s="278"/>
    </row>
    <row r="92" spans="1:12" ht="15.75" thickBot="1" x14ac:dyDescent="0.3">
      <c r="A92" s="133"/>
      <c r="B92" s="134"/>
      <c r="C92" s="135"/>
      <c r="D92" s="296" t="s">
        <v>28</v>
      </c>
      <c r="E92" s="297">
        <f>E4+E50+E85+E90</f>
        <v>77253203.974275202</v>
      </c>
      <c r="F92" s="297">
        <f t="shared" ref="F92:L92" si="19">F4+F50+F85+F90</f>
        <v>0</v>
      </c>
      <c r="G92" s="297">
        <f t="shared" si="19"/>
        <v>1077687.127312691</v>
      </c>
      <c r="H92" s="297">
        <f t="shared" si="19"/>
        <v>17406765.950000014</v>
      </c>
      <c r="I92" s="297">
        <f t="shared" si="19"/>
        <v>3403.9100000000353</v>
      </c>
      <c r="J92" s="297">
        <f t="shared" si="19"/>
        <v>4031267.1565000005</v>
      </c>
      <c r="K92" s="297">
        <f t="shared" si="19"/>
        <v>0</v>
      </c>
      <c r="L92" s="298">
        <f t="shared" si="19"/>
        <v>99772328.118087903</v>
      </c>
    </row>
    <row r="93" spans="1:12" ht="13.5" thickTop="1" x14ac:dyDescent="0.2"/>
    <row r="97" spans="7:10" x14ac:dyDescent="0.2">
      <c r="G97" s="140"/>
      <c r="H97" s="140"/>
      <c r="I97" s="140"/>
      <c r="J97" s="140"/>
    </row>
  </sheetData>
  <mergeCells count="9">
    <mergeCell ref="L1:L2"/>
    <mergeCell ref="A1:D2"/>
    <mergeCell ref="E1:E2"/>
    <mergeCell ref="F1:F2"/>
    <mergeCell ref="G1:G2"/>
    <mergeCell ref="K1:K2"/>
    <mergeCell ref="H1:H2"/>
    <mergeCell ref="I1:I2"/>
    <mergeCell ref="J1:J2"/>
  </mergeCells>
  <printOptions horizontalCentered="1"/>
  <pageMargins left="0.47244094488188981" right="0.74803149606299213" top="0.98425196850393704" bottom="0.39370078740157483" header="0.23622047244094491" footer="0.27559055118110237"/>
  <pageSetup paperSize="8" fitToHeight="100" orientation="landscape" horizontalDpi="300" verticalDpi="300" r:id="rId1"/>
  <headerFooter alignWithMargins="0"/>
  <rowBreaks count="1" manualBreakCount="1">
    <brk id="70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showGridLines="0" zoomScaleNormal="100" workbookViewId="0">
      <pane ySplit="2" topLeftCell="A39" activePane="bottomLeft" state="frozen"/>
      <selection pane="bottomLeft" activeCell="E1" sqref="E1:L2"/>
    </sheetView>
  </sheetViews>
  <sheetFormatPr defaultColWidth="9.140625" defaultRowHeight="12.75" x14ac:dyDescent="0.2"/>
  <cols>
    <col min="1" max="1" width="3" style="288" customWidth="1"/>
    <col min="2" max="3" width="2.42578125" style="288" customWidth="1"/>
    <col min="4" max="4" width="52.85546875" style="288" customWidth="1"/>
    <col min="5" max="5" width="17.42578125" style="288" customWidth="1"/>
    <col min="6" max="6" width="17.42578125" style="288" hidden="1" customWidth="1"/>
    <col min="7" max="9" width="17.7109375" style="288" customWidth="1"/>
    <col min="10" max="10" width="17.42578125" style="288" customWidth="1"/>
    <col min="11" max="11" width="17.42578125" style="288" hidden="1" customWidth="1"/>
    <col min="12" max="12" width="17.42578125" style="288" customWidth="1"/>
    <col min="13" max="13" width="5.140625" style="288" customWidth="1"/>
    <col min="14" max="16384" width="9.140625" style="288"/>
  </cols>
  <sheetData>
    <row r="1" spans="1:12" ht="13.5" customHeight="1" thickTop="1" x14ac:dyDescent="0.2">
      <c r="A1" s="583" t="s">
        <v>164</v>
      </c>
      <c r="B1" s="584"/>
      <c r="C1" s="584"/>
      <c r="D1" s="585"/>
      <c r="E1" s="572" t="s">
        <v>235</v>
      </c>
      <c r="F1" s="572"/>
      <c r="G1" s="572" t="s">
        <v>236</v>
      </c>
      <c r="H1" s="572" t="s">
        <v>237</v>
      </c>
      <c r="I1" s="572" t="s">
        <v>238</v>
      </c>
      <c r="J1" s="572" t="s">
        <v>239</v>
      </c>
      <c r="K1" s="572"/>
      <c r="L1" s="575" t="s">
        <v>218</v>
      </c>
    </row>
    <row r="2" spans="1:12" ht="27" customHeight="1" thickBot="1" x14ac:dyDescent="0.25">
      <c r="A2" s="586"/>
      <c r="B2" s="587"/>
      <c r="C2" s="587"/>
      <c r="D2" s="588"/>
      <c r="E2" s="574"/>
      <c r="F2" s="574"/>
      <c r="G2" s="574"/>
      <c r="H2" s="574"/>
      <c r="I2" s="574"/>
      <c r="J2" s="573"/>
      <c r="K2" s="574"/>
      <c r="L2" s="576"/>
    </row>
    <row r="3" spans="1:12" ht="13.5" thickTop="1" x14ac:dyDescent="0.2">
      <c r="A3" s="301"/>
      <c r="B3" s="283"/>
      <c r="C3" s="302"/>
      <c r="D3" s="303" t="s">
        <v>2</v>
      </c>
      <c r="E3" s="304"/>
      <c r="F3" s="305"/>
      <c r="G3" s="305"/>
      <c r="H3" s="305"/>
      <c r="I3" s="305"/>
      <c r="J3" s="305"/>
      <c r="K3" s="305"/>
      <c r="L3" s="306"/>
    </row>
    <row r="4" spans="1:12" x14ac:dyDescent="0.2">
      <c r="A4" s="307" t="s">
        <v>41</v>
      </c>
      <c r="B4" s="285"/>
      <c r="C4" s="308"/>
      <c r="D4" s="285" t="s">
        <v>92</v>
      </c>
      <c r="E4" s="309">
        <f>'PASSIVO PATR'!E4-'PASSIVO PATR'!L4-'PASSIVO PATR'!O4-'PASSIVO PATR'!R4-'PASSIVO PATR'!U4-'PASSIVO PATR'!X4-'PASSIVO PATR'!AA4</f>
        <v>20560500.989999998</v>
      </c>
      <c r="F4" s="310">
        <f>'PASSIVO PATR'!F4-'PASSIVO PATR'!M4-'PASSIVO PATR'!N4</f>
        <v>0</v>
      </c>
      <c r="G4" s="310">
        <f>'PASSIVO PATR'!G4-'PASSIVO PATR'!P4-'PASSIVO PATR'!Q4</f>
        <v>0</v>
      </c>
      <c r="H4" s="310">
        <f>'PASSIVO PATR'!H4-'PASSIVO PATR'!S4-'PASSIVO PATR'!T4-'PASSIVO PATR'!AE4-'PASSIVO PATR'!AI4-'PASSIVO PATR'!AG4</f>
        <v>0</v>
      </c>
      <c r="I4" s="310">
        <f>'PASSIVO PATR'!I4-'PASSIVO PATR'!V4-'PASSIVO PATR'!W4-'PASSIVO PATR'!AH4</f>
        <v>0</v>
      </c>
      <c r="J4" s="310">
        <f>'PASSIVO PATR'!J4-'PASSIVO PATR'!Y4-'PASSIVO PATR'!Z4-'PASSIVO PATR'!AD4</f>
        <v>0</v>
      </c>
      <c r="K4" s="310">
        <f>'PASSIVO PATR'!K4-'PASSIVO PATR'!AB4-'PASSIVO PATR'!AC4-'PASSIVO PATR'!AF4</f>
        <v>0</v>
      </c>
      <c r="L4" s="311">
        <f>SUM(E4:K4)</f>
        <v>20560500.989999998</v>
      </c>
    </row>
    <row r="5" spans="1:12" x14ac:dyDescent="0.2">
      <c r="A5" s="307" t="s">
        <v>42</v>
      </c>
      <c r="B5" s="285"/>
      <c r="C5" s="308"/>
      <c r="D5" s="285" t="s">
        <v>93</v>
      </c>
      <c r="E5" s="309">
        <f>'PASSIVO PATR'!E5-'PASSIVO PATR'!L5-'PASSIVO PATR'!O5-'PASSIVO PATR'!R5-'PASSIVO PATR'!U5-'PASSIVO PATR'!X5-'PASSIVO PATR'!AA5</f>
        <v>28828879.403211214</v>
      </c>
      <c r="F5" s="310">
        <f>'PASSIVO PATR'!F5-'PASSIVO PATR'!M5-'PASSIVO PATR'!N5</f>
        <v>0</v>
      </c>
      <c r="G5" s="310">
        <f>'PASSIVO PATR'!G5-'PASSIVO PATR'!P5-'PASSIVO PATR'!Q5</f>
        <v>0</v>
      </c>
      <c r="H5" s="310">
        <f>'PASSIVO PATR'!H5-'PASSIVO PATR'!S5-'PASSIVO PATR'!T5-'PASSIVO PATR'!AE5-'PASSIVO PATR'!AI5-'PASSIVO PATR'!AG5</f>
        <v>0</v>
      </c>
      <c r="I5" s="310">
        <f>'PASSIVO PATR'!I5-'PASSIVO PATR'!V5-'PASSIVO PATR'!W5-'PASSIVO PATR'!AH5</f>
        <v>-1.1641532182693481E-10</v>
      </c>
      <c r="J5" s="310">
        <f>'PASSIVO PATR'!J5-'PASSIVO PATR'!Y5-'PASSIVO PATR'!Z5-'PASSIVO PATR'!AD5</f>
        <v>0</v>
      </c>
      <c r="K5" s="310">
        <f>'PASSIVO PATR'!K5-'PASSIVO PATR'!AB5-'PASSIVO PATR'!AC5-'PASSIVO PATR'!AF5</f>
        <v>0</v>
      </c>
      <c r="L5" s="311">
        <f t="shared" ref="L5:L11" si="0">SUM(E5:K5)</f>
        <v>28828879.403211214</v>
      </c>
    </row>
    <row r="6" spans="1:12" x14ac:dyDescent="0.2">
      <c r="A6" s="307"/>
      <c r="B6" s="285" t="s">
        <v>29</v>
      </c>
      <c r="C6" s="308"/>
      <c r="D6" s="285" t="s">
        <v>187</v>
      </c>
      <c r="E6" s="309">
        <f>'PASSIVO PATR'!E6-'PASSIVO PATR'!L6-'PASSIVO PATR'!O6-'PASSIVO PATR'!R6-'PASSIVO PATR'!U6-'PASSIVO PATR'!X6-'PASSIVO PATR'!AA6</f>
        <v>3468569.9732112158</v>
      </c>
      <c r="F6" s="310">
        <f>'PASSIVO PATR'!F6-'PASSIVO PATR'!M6-'PASSIVO PATR'!N6</f>
        <v>0</v>
      </c>
      <c r="G6" s="310">
        <f>'PASSIVO PATR'!G6-'PASSIVO PATR'!P6-'PASSIVO PATR'!Q6</f>
        <v>0</v>
      </c>
      <c r="H6" s="310">
        <f>'PASSIVO PATR'!H6-'PASSIVO PATR'!S6-'PASSIVO PATR'!T6-'PASSIVO PATR'!AE6-'PASSIVO PATR'!AI6-'PASSIVO PATR'!AG6</f>
        <v>0</v>
      </c>
      <c r="I6" s="310">
        <f>'PASSIVO PATR'!I6-'PASSIVO PATR'!V6-'PASSIVO PATR'!W6-'PASSIVO PATR'!AH6</f>
        <v>0</v>
      </c>
      <c r="J6" s="310">
        <f>'PASSIVO PATR'!J6-'PASSIVO PATR'!Y6-'PASSIVO PATR'!Z6-'PASSIVO PATR'!AD6</f>
        <v>0</v>
      </c>
      <c r="K6" s="310">
        <f>'PASSIVO PATR'!K6-'PASSIVO PATR'!AB6-'PASSIVO PATR'!AC6-'PASSIVO PATR'!AF6</f>
        <v>0</v>
      </c>
      <c r="L6" s="311">
        <f t="shared" si="0"/>
        <v>3468569.9732112158</v>
      </c>
    </row>
    <row r="7" spans="1:12" x14ac:dyDescent="0.2">
      <c r="A7" s="307"/>
      <c r="B7" s="285" t="s">
        <v>30</v>
      </c>
      <c r="C7" s="308"/>
      <c r="D7" s="285" t="s">
        <v>94</v>
      </c>
      <c r="E7" s="309">
        <f>'PASSIVO PATR'!E7-'PASSIVO PATR'!L7-'PASSIVO PATR'!O7-'PASSIVO PATR'!R7-'PASSIVO PATR'!U7-'PASSIVO PATR'!X7-'PASSIVO PATR'!AA7</f>
        <v>2914387.46</v>
      </c>
      <c r="F7" s="310">
        <f>'PASSIVO PATR'!F7-'PASSIVO PATR'!M7-'PASSIVO PATR'!N7</f>
        <v>0</v>
      </c>
      <c r="G7" s="310">
        <f>'PASSIVO PATR'!G7-'PASSIVO PATR'!P7-'PASSIVO PATR'!Q7</f>
        <v>0</v>
      </c>
      <c r="H7" s="310">
        <f>'PASSIVO PATR'!H7-'PASSIVO PATR'!S7-'PASSIVO PATR'!T7-'PASSIVO PATR'!AE7-'PASSIVO PATR'!AI7-'PASSIVO PATR'!AG7</f>
        <v>0</v>
      </c>
      <c r="I7" s="310">
        <f>'PASSIVO PATR'!I7-'PASSIVO PATR'!V7-'PASSIVO PATR'!W7-'PASSIVO PATR'!AH7</f>
        <v>-3.637978807091713E-12</v>
      </c>
      <c r="J7" s="310">
        <f>'PASSIVO PATR'!J7-'PASSIVO PATR'!Y7-'PASSIVO PATR'!Z7-'PASSIVO PATR'!AD7</f>
        <v>0</v>
      </c>
      <c r="K7" s="310">
        <f>'PASSIVO PATR'!K7-'PASSIVO PATR'!AB7-'PASSIVO PATR'!AC7-'PASSIVO PATR'!AF7</f>
        <v>0</v>
      </c>
      <c r="L7" s="311">
        <f t="shared" si="0"/>
        <v>2914387.46</v>
      </c>
    </row>
    <row r="8" spans="1:12" x14ac:dyDescent="0.2">
      <c r="A8" s="307"/>
      <c r="B8" s="285" t="s">
        <v>31</v>
      </c>
      <c r="C8" s="308"/>
      <c r="D8" s="285" t="s">
        <v>145</v>
      </c>
      <c r="E8" s="309">
        <f>'PASSIVO PATR'!E8-'PASSIVO PATR'!L8-'PASSIVO PATR'!O8-'PASSIVO PATR'!R8-'PASSIVO PATR'!U8-'PASSIVO PATR'!X8-'PASSIVO PATR'!AA8</f>
        <v>2740226.23</v>
      </c>
      <c r="F8" s="310">
        <f>'PASSIVO PATR'!F8-'PASSIVO PATR'!M8-'PASSIVO PATR'!N8</f>
        <v>0</v>
      </c>
      <c r="G8" s="310">
        <f>'PASSIVO PATR'!G8-'PASSIVO PATR'!P8-'PASSIVO PATR'!Q8</f>
        <v>0</v>
      </c>
      <c r="H8" s="310">
        <f>'PASSIVO PATR'!H8-'PASSIVO PATR'!S8-'PASSIVO PATR'!T8-'PASSIVO PATR'!AE8-'PASSIVO PATR'!AI8-'PASSIVO PATR'!AG8</f>
        <v>0</v>
      </c>
      <c r="I8" s="310">
        <f>'PASSIVO PATR'!I8-'PASSIVO PATR'!V8-'PASSIVO PATR'!W8-'PASSIVO PATR'!AH8</f>
        <v>0</v>
      </c>
      <c r="J8" s="310">
        <f>'PASSIVO PATR'!J8-'PASSIVO PATR'!Y8-'PASSIVO PATR'!Z8-'PASSIVO PATR'!AD8</f>
        <v>0</v>
      </c>
      <c r="K8" s="310">
        <f>'PASSIVO PATR'!K8-'PASSIVO PATR'!AB8-'PASSIVO PATR'!AC8-'PASSIVO PATR'!AF8</f>
        <v>0</v>
      </c>
      <c r="L8" s="311">
        <f t="shared" si="0"/>
        <v>2740226.23</v>
      </c>
    </row>
    <row r="9" spans="1:12" ht="25.5" x14ac:dyDescent="0.2">
      <c r="A9" s="307"/>
      <c r="B9" s="312" t="s">
        <v>32</v>
      </c>
      <c r="C9" s="313"/>
      <c r="D9" s="285" t="s">
        <v>212</v>
      </c>
      <c r="E9" s="309">
        <f>'PASSIVO PATR'!E9-'PASSIVO PATR'!L9-'PASSIVO PATR'!O9-'PASSIVO PATR'!R9-'PASSIVO PATR'!U9-'PASSIVO PATR'!X9-'PASSIVO PATR'!AA9</f>
        <v>19705695.739999998</v>
      </c>
      <c r="F9" s="310">
        <f>'PASSIVO PATR'!F9-'PASSIVO PATR'!M9-'PASSIVO PATR'!N9</f>
        <v>0</v>
      </c>
      <c r="G9" s="310">
        <f>'PASSIVO PATR'!G9-'PASSIVO PATR'!P9-'PASSIVO PATR'!Q9</f>
        <v>0</v>
      </c>
      <c r="H9" s="310">
        <f>'PASSIVO PATR'!H9-'PASSIVO PATR'!S9-'PASSIVO PATR'!T9-'PASSIVO PATR'!AE9-'PASSIVO PATR'!AI9-'PASSIVO PATR'!AG9</f>
        <v>0</v>
      </c>
      <c r="I9" s="310">
        <f>'PASSIVO PATR'!I9-'PASSIVO PATR'!V9-'PASSIVO PATR'!W9-'PASSIVO PATR'!AH9</f>
        <v>0</v>
      </c>
      <c r="J9" s="310">
        <f>'PASSIVO PATR'!J9-'PASSIVO PATR'!Y9-'PASSIVO PATR'!Z9-'PASSIVO PATR'!AD9</f>
        <v>0</v>
      </c>
      <c r="K9" s="310">
        <f>'PASSIVO PATR'!K9-'PASSIVO PATR'!AB9-'PASSIVO PATR'!AC9-'PASSIVO PATR'!AF9</f>
        <v>0</v>
      </c>
      <c r="L9" s="311">
        <f t="shared" si="0"/>
        <v>19705695.739999998</v>
      </c>
    </row>
    <row r="10" spans="1:12" ht="15" x14ac:dyDescent="0.2">
      <c r="A10" s="307"/>
      <c r="B10" s="312" t="s">
        <v>33</v>
      </c>
      <c r="C10" s="313"/>
      <c r="D10" s="285" t="s">
        <v>213</v>
      </c>
      <c r="E10" s="309">
        <f>'PASSIVO PATR'!E10-'PASSIVO PATR'!L10-'PASSIVO PATR'!O10-'PASSIVO PATR'!R10-'PASSIVO PATR'!U10-'PASSIVO PATR'!X10-'PASSIVO PATR'!AA10</f>
        <v>0</v>
      </c>
      <c r="F10" s="310">
        <f>'PASSIVO PATR'!F10-'PASSIVO PATR'!M10-'PASSIVO PATR'!N10</f>
        <v>0</v>
      </c>
      <c r="G10" s="310">
        <f>'PASSIVO PATR'!G10-'PASSIVO PATR'!P10-'PASSIVO PATR'!Q10</f>
        <v>0</v>
      </c>
      <c r="H10" s="310">
        <f>'PASSIVO PATR'!H10-'PASSIVO PATR'!S10-'PASSIVO PATR'!T10-'PASSIVO PATR'!AE10-'PASSIVO PATR'!AI10-'PASSIVO PATR'!AG10</f>
        <v>0</v>
      </c>
      <c r="I10" s="310">
        <f>'PASSIVO PATR'!I10-'PASSIVO PATR'!V10-'PASSIVO PATR'!W10-'PASSIVO PATR'!AH10</f>
        <v>0</v>
      </c>
      <c r="J10" s="310">
        <f>'PASSIVO PATR'!J10-'PASSIVO PATR'!Y10-'PASSIVO PATR'!Z10-'PASSIVO PATR'!AD10</f>
        <v>0</v>
      </c>
      <c r="K10" s="310">
        <f>'PASSIVO PATR'!K10-'PASSIVO PATR'!AB10-'PASSIVO PATR'!AC10-'PASSIVO PATR'!AF10</f>
        <v>0</v>
      </c>
      <c r="L10" s="311">
        <f t="shared" si="0"/>
        <v>0</v>
      </c>
    </row>
    <row r="11" spans="1:12" x14ac:dyDescent="0.2">
      <c r="A11" s="307" t="s">
        <v>44</v>
      </c>
      <c r="B11" s="285"/>
      <c r="C11" s="308"/>
      <c r="D11" s="285" t="s">
        <v>55</v>
      </c>
      <c r="E11" s="309">
        <f>'PASSIVO PATR'!E11-'PASSIVO PATR'!L11-'PASSIVO PATR'!O11-'PASSIVO PATR'!R11-'PASSIVO PATR'!U11-'PASSIVO PATR'!X11-'PASSIVO PATR'!AA11</f>
        <v>6322072.2038233299</v>
      </c>
      <c r="F11" s="310">
        <f>'PASSIVO PATR'!F11-'PASSIVO PATR'!M11-'PASSIVO PATR'!N11</f>
        <v>0</v>
      </c>
      <c r="G11" s="310">
        <f>'PASSIVO PATR'!G11-'PASSIVO PATR'!P11-'PASSIVO PATR'!Q11</f>
        <v>4914.149406590499</v>
      </c>
      <c r="H11" s="310">
        <f>'PASSIVO PATR'!H11-'PASSIVO PATR'!S11-'PASSIVO PATR'!T11-'PASSIVO PATR'!AE11-'PASSIVO PATR'!AI11-'PASSIVO PATR'!AG11</f>
        <v>35276.000000003725</v>
      </c>
      <c r="I11" s="310">
        <f>'PASSIVO PATR'!I11-'PASSIVO PATR'!V11-'PASSIVO PATR'!W11-'PASSIVO PATR'!AH11</f>
        <v>38.884270033566281</v>
      </c>
      <c r="J11" s="310">
        <f>'PASSIVO PATR'!J11-'PASSIVO PATR'!Y11-'PASSIVO PATR'!Z11-'PASSIVO PATR'!AD11</f>
        <v>-13561.327499999996</v>
      </c>
      <c r="K11" s="310">
        <f>'PASSIVO PATR'!K11-'PASSIVO PATR'!AB11-'PASSIVO PATR'!AC11-'PASSIVO PATR'!AF11</f>
        <v>0</v>
      </c>
      <c r="L11" s="311">
        <f t="shared" si="0"/>
        <v>6348739.9099999582</v>
      </c>
    </row>
    <row r="12" spans="1:12" x14ac:dyDescent="0.2">
      <c r="A12" s="307"/>
      <c r="B12" s="285"/>
      <c r="C12" s="308"/>
      <c r="D12" s="65" t="s">
        <v>172</v>
      </c>
      <c r="E12" s="314">
        <f>E4+E5+E11</f>
        <v>55711452.597034544</v>
      </c>
      <c r="F12" s="314">
        <f t="shared" ref="F12:H12" si="1">F4+F5+F11</f>
        <v>0</v>
      </c>
      <c r="G12" s="314">
        <f t="shared" si="1"/>
        <v>4914.149406590499</v>
      </c>
      <c r="H12" s="314">
        <f t="shared" si="1"/>
        <v>35276.000000003725</v>
      </c>
      <c r="I12" s="314">
        <f t="shared" ref="I12:L12" si="2">I4+I5+I11</f>
        <v>38.884270033449866</v>
      </c>
      <c r="J12" s="314">
        <f t="shared" si="2"/>
        <v>-13561.327499999996</v>
      </c>
      <c r="K12" s="314">
        <f t="shared" si="2"/>
        <v>0</v>
      </c>
      <c r="L12" s="315">
        <f t="shared" si="2"/>
        <v>55738120.303211175</v>
      </c>
    </row>
    <row r="13" spans="1:12" x14ac:dyDescent="0.2">
      <c r="A13" s="307"/>
      <c r="B13" s="285"/>
      <c r="C13" s="308"/>
      <c r="D13" s="280" t="s">
        <v>169</v>
      </c>
      <c r="E13" s="309"/>
      <c r="F13" s="310"/>
      <c r="G13" s="310"/>
      <c r="H13" s="310"/>
      <c r="I13" s="310"/>
      <c r="J13" s="310"/>
      <c r="K13" s="310"/>
      <c r="L13" s="311"/>
    </row>
    <row r="14" spans="1:12" x14ac:dyDescent="0.2">
      <c r="A14" s="307"/>
      <c r="B14" s="285"/>
      <c r="C14" s="308"/>
      <c r="D14" s="285" t="s">
        <v>170</v>
      </c>
      <c r="E14" s="309"/>
      <c r="F14" s="310"/>
      <c r="G14" s="310"/>
      <c r="H14" s="310"/>
      <c r="I14" s="310"/>
      <c r="J14" s="310"/>
      <c r="K14" s="310"/>
      <c r="L14" s="311"/>
    </row>
    <row r="15" spans="1:12" x14ac:dyDescent="0.2">
      <c r="A15" s="307"/>
      <c r="B15" s="285"/>
      <c r="C15" s="308"/>
      <c r="D15" s="65" t="s">
        <v>171</v>
      </c>
      <c r="E15" s="309"/>
      <c r="F15" s="310"/>
      <c r="G15" s="310"/>
      <c r="H15" s="310"/>
      <c r="I15" s="310"/>
      <c r="J15" s="310"/>
      <c r="K15" s="310"/>
      <c r="L15" s="311"/>
    </row>
    <row r="16" spans="1:12" ht="15" x14ac:dyDescent="0.2">
      <c r="A16" s="307"/>
      <c r="B16" s="285"/>
      <c r="C16" s="308"/>
      <c r="D16" s="316" t="s">
        <v>219</v>
      </c>
      <c r="E16" s="314">
        <f>E12</f>
        <v>55711452.597034544</v>
      </c>
      <c r="F16" s="314">
        <f t="shared" ref="F16:H16" si="3">F12</f>
        <v>0</v>
      </c>
      <c r="G16" s="314">
        <f t="shared" si="3"/>
        <v>4914.149406590499</v>
      </c>
      <c r="H16" s="314">
        <f t="shared" si="3"/>
        <v>35276.000000003725</v>
      </c>
      <c r="I16" s="314">
        <f t="shared" ref="I16:L16" si="4">I12</f>
        <v>38.884270033449866</v>
      </c>
      <c r="J16" s="314">
        <f t="shared" si="4"/>
        <v>-13561.327499999996</v>
      </c>
      <c r="K16" s="314">
        <f t="shared" si="4"/>
        <v>0</v>
      </c>
      <c r="L16" s="315">
        <f t="shared" si="4"/>
        <v>55738120.303211175</v>
      </c>
    </row>
    <row r="17" spans="1:12" x14ac:dyDescent="0.2">
      <c r="A17" s="307"/>
      <c r="B17" s="285"/>
      <c r="C17" s="308"/>
      <c r="D17" s="285"/>
      <c r="E17" s="309"/>
      <c r="F17" s="310"/>
      <c r="G17" s="310"/>
      <c r="H17" s="310"/>
      <c r="I17" s="310"/>
      <c r="J17" s="310"/>
      <c r="K17" s="310"/>
      <c r="L17" s="311"/>
    </row>
    <row r="18" spans="1:12" x14ac:dyDescent="0.2">
      <c r="A18" s="307"/>
      <c r="B18" s="285"/>
      <c r="C18" s="308"/>
      <c r="D18" s="289" t="s">
        <v>43</v>
      </c>
      <c r="E18" s="309"/>
      <c r="F18" s="310"/>
      <c r="G18" s="310"/>
      <c r="H18" s="310"/>
      <c r="I18" s="310"/>
      <c r="J18" s="310"/>
      <c r="K18" s="310"/>
      <c r="L18" s="311">
        <f t="shared" ref="L18:L23" si="5">SUM(E18:K18)</f>
        <v>0</v>
      </c>
    </row>
    <row r="19" spans="1:12" x14ac:dyDescent="0.2">
      <c r="A19" s="307"/>
      <c r="B19" s="285">
        <v>1</v>
      </c>
      <c r="C19" s="308"/>
      <c r="D19" s="285" t="s">
        <v>81</v>
      </c>
      <c r="E19" s="309">
        <f>'PASSIVO PATR'!E19-'PASSIVO PATR'!L19-'PASSIVO PATR'!O19-'PASSIVO PATR'!R19-'PASSIVO PATR'!U19-'PASSIVO PATR'!X19-'PASSIVO PATR'!AA19</f>
        <v>0</v>
      </c>
      <c r="F19" s="310">
        <f>'PASSIVO PATR'!F19-'PASSIVO PATR'!M19-'PASSIVO PATR'!N19</f>
        <v>0</v>
      </c>
      <c r="G19" s="310">
        <f>'PASSIVO PATR'!G19-'PASSIVO PATR'!P19-'PASSIVO PATR'!Q19</f>
        <v>0</v>
      </c>
      <c r="H19" s="310">
        <f>'PASSIVO PATR'!H19-'PASSIVO PATR'!S19-'PASSIVO PATR'!T19-'PASSIVO PATR'!AE19-'PASSIVO PATR'!AI19-'PASSIVO PATR'!AG19</f>
        <v>0</v>
      </c>
      <c r="I19" s="310">
        <f>'PASSIVO PATR'!I19-'PASSIVO PATR'!V19-'PASSIVO PATR'!W19-'PASSIVO PATR'!AH19</f>
        <v>0</v>
      </c>
      <c r="J19" s="310">
        <f>'PASSIVO PATR'!J19-'PASSIVO PATR'!Y19-'PASSIVO PATR'!Z19-'PASSIVO PATR'!AD19</f>
        <v>0</v>
      </c>
      <c r="K19" s="310">
        <f>'PASSIVO PATR'!K19-'PASSIVO PATR'!AB19-'PASSIVO PATR'!AC19-'PASSIVO PATR'!AF19</f>
        <v>0</v>
      </c>
      <c r="L19" s="311">
        <f t="shared" si="5"/>
        <v>0</v>
      </c>
    </row>
    <row r="20" spans="1:12" x14ac:dyDescent="0.2">
      <c r="A20" s="307"/>
      <c r="B20" s="285">
        <v>2</v>
      </c>
      <c r="C20" s="308"/>
      <c r="D20" s="285" t="s">
        <v>157</v>
      </c>
      <c r="E20" s="309">
        <f>'PASSIVO PATR'!E20-'PASSIVO PATR'!L20-'PASSIVO PATR'!O20-'PASSIVO PATR'!R20-'PASSIVO PATR'!U20-'PASSIVO PATR'!X20-'PASSIVO PATR'!AA20</f>
        <v>0</v>
      </c>
      <c r="F20" s="310">
        <f>'PASSIVO PATR'!F20-'PASSIVO PATR'!M20-'PASSIVO PATR'!N20</f>
        <v>0</v>
      </c>
      <c r="G20" s="310">
        <f>'PASSIVO PATR'!G20-'PASSIVO PATR'!P20-'PASSIVO PATR'!Q20</f>
        <v>536.79999999998836</v>
      </c>
      <c r="H20" s="310">
        <f>'PASSIVO PATR'!H20-'PASSIVO PATR'!S20-'PASSIVO PATR'!T20-'PASSIVO PATR'!AE20-'PASSIVO PATR'!AI20-'PASSIVO PATR'!AG20</f>
        <v>0</v>
      </c>
      <c r="I20" s="310">
        <f>'PASSIVO PATR'!I20-'PASSIVO PATR'!V20-'PASSIVO PATR'!W20-'PASSIVO PATR'!AH20</f>
        <v>0</v>
      </c>
      <c r="J20" s="310">
        <f>'PASSIVO PATR'!J20-'PASSIVO PATR'!Y20-'PASSIVO PATR'!Z20-'PASSIVO PATR'!AD20</f>
        <v>10279.350000000006</v>
      </c>
      <c r="K20" s="310">
        <f>'PASSIVO PATR'!K20-'PASSIVO PATR'!AB20-'PASSIVO PATR'!AC20-'PASSIVO PATR'!AF20</f>
        <v>0</v>
      </c>
      <c r="L20" s="311">
        <f t="shared" si="5"/>
        <v>10816.149999999994</v>
      </c>
    </row>
    <row r="21" spans="1:12" x14ac:dyDescent="0.2">
      <c r="A21" s="307"/>
      <c r="B21" s="285">
        <v>3</v>
      </c>
      <c r="C21" s="308"/>
      <c r="D21" s="285" t="s">
        <v>62</v>
      </c>
      <c r="E21" s="309">
        <f>'PASSIVO PATR'!E21-'PASSIVO PATR'!L21-'PASSIVO PATR'!O21-'PASSIVO PATR'!R21-'PASSIVO PATR'!U21-'PASSIVO PATR'!X21-'PASSIVO PATR'!AA21</f>
        <v>312804.96000000002</v>
      </c>
      <c r="F21" s="310">
        <f>'PASSIVO PATR'!F21-'PASSIVO PATR'!M21-'PASSIVO PATR'!N21</f>
        <v>0</v>
      </c>
      <c r="G21" s="310">
        <f>'PASSIVO PATR'!G21-'PASSIVO PATR'!P21-'PASSIVO PATR'!Q21</f>
        <v>106579.34999999404</v>
      </c>
      <c r="H21" s="310">
        <f>'PASSIVO PATR'!H21-'PASSIVO PATR'!S21-'PASSIVO PATR'!T21-'PASSIVO PATR'!AE21-'PASSIVO PATR'!AI21-'PASSIVO PATR'!AG21</f>
        <v>916680.75</v>
      </c>
      <c r="I21" s="310">
        <f>'PASSIVO PATR'!I21-'PASSIVO PATR'!V21-'PASSIVO PATR'!W21-'PASSIVO PATR'!AH21</f>
        <v>0</v>
      </c>
      <c r="J21" s="310">
        <f>'PASSIVO PATR'!J21-'PASSIVO PATR'!Y21-'PASSIVO PATR'!Z21-'PASSIVO PATR'!AD21</f>
        <v>402900.95000000019</v>
      </c>
      <c r="K21" s="310">
        <f>'PASSIVO PATR'!K21-'PASSIVO PATR'!AB21-'PASSIVO PATR'!AC21-'PASSIVO PATR'!AF21</f>
        <v>0</v>
      </c>
      <c r="L21" s="311">
        <f t="shared" si="5"/>
        <v>1738966.0099999942</v>
      </c>
    </row>
    <row r="22" spans="1:12" x14ac:dyDescent="0.2">
      <c r="A22" s="307"/>
      <c r="B22" s="285">
        <v>4</v>
      </c>
      <c r="C22" s="308"/>
      <c r="D22" s="285" t="s">
        <v>165</v>
      </c>
      <c r="E22" s="309">
        <f>'PASSIVO PATR'!E22-'PASSIVO PATR'!L22-'PASSIVO PATR'!O22-'PASSIVO PATR'!R22-'PASSIVO PATR'!U22-'PASSIVO PATR'!X22-'PASSIVO PATR'!AA22</f>
        <v>0</v>
      </c>
      <c r="F22" s="310">
        <f>'PASSIVO PATR'!F22-'PASSIVO PATR'!M22-'PASSIVO PATR'!N22</f>
        <v>0</v>
      </c>
      <c r="G22" s="310">
        <f>'PASSIVO PATR'!G22-'PASSIVO PATR'!P22-'PASSIVO PATR'!Q22</f>
        <v>0</v>
      </c>
      <c r="H22" s="310">
        <f>'PASSIVO PATR'!H22-'PASSIVO PATR'!S22-'PASSIVO PATR'!T22-'PASSIVO PATR'!AE22-'PASSIVO PATR'!AI22-'PASSIVO PATR'!AG22</f>
        <v>0</v>
      </c>
      <c r="I22" s="310">
        <f>'PASSIVO PATR'!I22-'PASSIVO PATR'!V22-'PASSIVO PATR'!W22-'PASSIVO PATR'!AH22</f>
        <v>0</v>
      </c>
      <c r="J22" s="310">
        <f>'PASSIVO PATR'!J22-'PASSIVO PATR'!Y22-'PASSIVO PATR'!Z22-'PASSIVO PATR'!AD22</f>
        <v>0</v>
      </c>
      <c r="K22" s="310">
        <f>'PASSIVO PATR'!K22-'PASSIVO PATR'!AB22-'PASSIVO PATR'!AC22-'PASSIVO PATR'!AF22</f>
        <v>0</v>
      </c>
      <c r="L22" s="311">
        <f t="shared" si="5"/>
        <v>0</v>
      </c>
    </row>
    <row r="23" spans="1:12" x14ac:dyDescent="0.2">
      <c r="A23" s="307"/>
      <c r="B23" s="285"/>
      <c r="C23" s="308"/>
      <c r="D23" s="289"/>
      <c r="E23" s="309"/>
      <c r="F23" s="310">
        <f>'PASSIVO PATR'!F23-'PASSIVO PATR'!M23-'PASSIVO PATR'!N23</f>
        <v>0</v>
      </c>
      <c r="G23" s="310">
        <f>'PASSIVO PATR'!G23-'PASSIVO PATR'!P23-'PASSIVO PATR'!Q23</f>
        <v>0</v>
      </c>
      <c r="H23" s="310">
        <f>'PASSIVO PATR'!H23-'PASSIVO PATR'!S23-'PASSIVO PATR'!T23-'PASSIVO PATR'!AE23-'PASSIVO PATR'!AI23-'PASSIVO PATR'!AG23</f>
        <v>0</v>
      </c>
      <c r="I23" s="310"/>
      <c r="J23" s="310"/>
      <c r="K23" s="310"/>
      <c r="L23" s="311">
        <f t="shared" si="5"/>
        <v>0</v>
      </c>
    </row>
    <row r="24" spans="1:12" x14ac:dyDescent="0.2">
      <c r="A24" s="307"/>
      <c r="B24" s="285"/>
      <c r="C24" s="308"/>
      <c r="D24" s="316" t="s">
        <v>49</v>
      </c>
      <c r="E24" s="314">
        <f>+E19+E20+E21+E22</f>
        <v>312804.96000000002</v>
      </c>
      <c r="F24" s="314">
        <f t="shared" ref="F24:H24" si="6">+F19+F20+F21+F22</f>
        <v>0</v>
      </c>
      <c r="G24" s="314">
        <f t="shared" si="6"/>
        <v>107116.14999999403</v>
      </c>
      <c r="H24" s="314">
        <f t="shared" si="6"/>
        <v>916680.75</v>
      </c>
      <c r="I24" s="314">
        <f t="shared" ref="I24:L24" si="7">+I19+I20+I21+I22</f>
        <v>0</v>
      </c>
      <c r="J24" s="314">
        <f t="shared" si="7"/>
        <v>413180.30000000016</v>
      </c>
      <c r="K24" s="314">
        <f t="shared" si="7"/>
        <v>0</v>
      </c>
      <c r="L24" s="315">
        <f t="shared" si="7"/>
        <v>1749782.1599999941</v>
      </c>
    </row>
    <row r="25" spans="1:12" x14ac:dyDescent="0.2">
      <c r="A25" s="307"/>
      <c r="B25" s="285"/>
      <c r="C25" s="308"/>
      <c r="D25" s="317"/>
      <c r="E25" s="309"/>
      <c r="F25" s="310"/>
      <c r="G25" s="310"/>
      <c r="H25" s="310"/>
      <c r="I25" s="310"/>
      <c r="J25" s="310"/>
      <c r="K25" s="310"/>
      <c r="L25" s="311"/>
    </row>
    <row r="26" spans="1:12" x14ac:dyDescent="0.2">
      <c r="A26" s="307"/>
      <c r="B26" s="285"/>
      <c r="C26" s="308"/>
      <c r="D26" s="65" t="s">
        <v>82</v>
      </c>
      <c r="E26" s="309">
        <f>'PASSIVO PATR'!E26-'PASSIVO PATR'!L26-'PASSIVO PATR'!O26-'PASSIVO PATR'!R26-'PASSIVO PATR'!U26-'PASSIVO PATR'!X26-'PASSIVO PATR'!AA26</f>
        <v>0</v>
      </c>
      <c r="F26" s="310">
        <f>'PASSIVO PATR'!F26-'PASSIVO PATR'!M26-'PASSIVO PATR'!N26</f>
        <v>0</v>
      </c>
      <c r="G26" s="310">
        <f>'PASSIVO PATR'!G26-'PASSIVO PATR'!P26-'PASSIVO PATR'!Q26</f>
        <v>1910.1799999999348</v>
      </c>
      <c r="H26" s="310">
        <f>'PASSIVO PATR'!H26-'PASSIVO PATR'!S26-'PASSIVO PATR'!T26-'PASSIVO PATR'!AE26-'PASSIVO PATR'!AI26-'PASSIVO PATR'!AG26</f>
        <v>101325.64999999991</v>
      </c>
      <c r="I26" s="310">
        <f>'PASSIVO PATR'!I26-'PASSIVO PATR'!V26-'PASSIVO PATR'!W26-'PASSIVO PATR'!AH26</f>
        <v>0</v>
      </c>
      <c r="J26" s="310">
        <f>'PASSIVO PATR'!J26-'PASSIVO PATR'!Y26-'PASSIVO PATR'!Z26-'PASSIVO PATR'!AD26</f>
        <v>165674.95000000019</v>
      </c>
      <c r="K26" s="310">
        <f>'PASSIVO PATR'!K26-'PASSIVO PATR'!AB26-'PASSIVO PATR'!AC26-'PASSIVO PATR'!AF26</f>
        <v>0</v>
      </c>
      <c r="L26" s="311">
        <f>SUM(E26:K26)</f>
        <v>268910.78000000003</v>
      </c>
    </row>
    <row r="27" spans="1:12" x14ac:dyDescent="0.2">
      <c r="A27" s="307"/>
      <c r="B27" s="285"/>
      <c r="C27" s="308"/>
      <c r="D27" s="317" t="s">
        <v>160</v>
      </c>
      <c r="E27" s="314">
        <f>+E26</f>
        <v>0</v>
      </c>
      <c r="F27" s="314">
        <f t="shared" ref="F27:H27" si="8">+F26</f>
        <v>0</v>
      </c>
      <c r="G27" s="314">
        <f t="shared" si="8"/>
        <v>1910.1799999999348</v>
      </c>
      <c r="H27" s="314">
        <f t="shared" si="8"/>
        <v>101325.64999999991</v>
      </c>
      <c r="I27" s="314">
        <f t="shared" ref="I27:L27" si="9">+I26</f>
        <v>0</v>
      </c>
      <c r="J27" s="314">
        <f t="shared" si="9"/>
        <v>165674.95000000019</v>
      </c>
      <c r="K27" s="314">
        <f t="shared" si="9"/>
        <v>0</v>
      </c>
      <c r="L27" s="315">
        <f t="shared" si="9"/>
        <v>268910.78000000003</v>
      </c>
    </row>
    <row r="28" spans="1:12" ht="15" x14ac:dyDescent="0.2">
      <c r="A28" s="307"/>
      <c r="B28" s="285"/>
      <c r="C28" s="308"/>
      <c r="D28" s="303" t="s">
        <v>220</v>
      </c>
      <c r="E28" s="309"/>
      <c r="F28" s="310"/>
      <c r="G28" s="310"/>
      <c r="H28" s="310"/>
      <c r="I28" s="310"/>
      <c r="J28" s="310"/>
      <c r="K28" s="310"/>
      <c r="L28" s="311"/>
    </row>
    <row r="29" spans="1:12" x14ac:dyDescent="0.2">
      <c r="A29" s="307"/>
      <c r="B29" s="285">
        <v>1</v>
      </c>
      <c r="C29" s="308"/>
      <c r="D29" s="285" t="s">
        <v>109</v>
      </c>
      <c r="E29" s="309">
        <f>'PASSIVO PATR'!E29-'PASSIVO PATR'!L29-'PASSIVO PATR'!O29-'PASSIVO PATR'!R29-'PASSIVO PATR'!U29-'PASSIVO PATR'!X29-'PASSIVO PATR'!AA29</f>
        <v>0</v>
      </c>
      <c r="F29" s="310">
        <f>'PASSIVO PATR'!F29-'PASSIVO PATR'!M29-'PASSIVO PATR'!N29</f>
        <v>0</v>
      </c>
      <c r="G29" s="310">
        <f>'PASSIVO PATR'!G29-'PASSIVO PATR'!P29-'PASSIVO PATR'!Q29</f>
        <v>208454.94999998808</v>
      </c>
      <c r="H29" s="310">
        <f>'PASSIVO PATR'!H29-'PASSIVO PATR'!S29-'PASSIVO PATR'!T29-'PASSIVO PATR'!AE29-'PASSIVO PATR'!AI29-'PASSIVO PATR'!AG29</f>
        <v>11135402.5</v>
      </c>
      <c r="I29" s="310">
        <f>'PASSIVO PATR'!I29-'PASSIVO PATR'!V29-'PASSIVO PATR'!W29-'PASSIVO PATR'!AH29</f>
        <v>0</v>
      </c>
      <c r="J29" s="310">
        <f>'PASSIVO PATR'!J29-'PASSIVO PATR'!Y29-'PASSIVO PATR'!Z29-'PASSIVO PATR'!AD29</f>
        <v>0</v>
      </c>
      <c r="K29" s="310">
        <f>'PASSIVO PATR'!K29-'PASSIVO PATR'!AB29-'PASSIVO PATR'!AC29-'PASSIVO PATR'!AF29</f>
        <v>0</v>
      </c>
      <c r="L29" s="311">
        <f t="shared" ref="L29:L46" si="10">SUM(E29:K29)</f>
        <v>11343857.449999988</v>
      </c>
    </row>
    <row r="30" spans="1:12" x14ac:dyDescent="0.2">
      <c r="A30" s="307"/>
      <c r="B30" s="285"/>
      <c r="C30" s="308" t="s">
        <v>108</v>
      </c>
      <c r="D30" s="285" t="s">
        <v>159</v>
      </c>
      <c r="E30" s="309">
        <f>'PASSIVO PATR'!E30-'PASSIVO PATR'!L30-'PASSIVO PATR'!O30-'PASSIVO PATR'!R30-'PASSIVO PATR'!U30-'PASSIVO PATR'!X30-'PASSIVO PATR'!AA30</f>
        <v>0</v>
      </c>
      <c r="F30" s="310">
        <f>'PASSIVO PATR'!F30-'PASSIVO PATR'!M30-'PASSIVO PATR'!N30</f>
        <v>0</v>
      </c>
      <c r="G30" s="310">
        <f>'PASSIVO PATR'!G30-'PASSIVO PATR'!P30-'PASSIVO PATR'!Q30</f>
        <v>0</v>
      </c>
      <c r="H30" s="310">
        <f>'PASSIVO PATR'!H30-'PASSIVO PATR'!S30-'PASSIVO PATR'!T30-'PASSIVO PATR'!AE30-'PASSIVO PATR'!AI30-'PASSIVO PATR'!AG30</f>
        <v>0</v>
      </c>
      <c r="I30" s="310">
        <f>'PASSIVO PATR'!I30-'PASSIVO PATR'!V30-'PASSIVO PATR'!W30-'PASSIVO PATR'!AH30</f>
        <v>0</v>
      </c>
      <c r="J30" s="310">
        <f>'PASSIVO PATR'!J30-'PASSIVO PATR'!Y30-'PASSIVO PATR'!Z30-'PASSIVO PATR'!AD30</f>
        <v>0</v>
      </c>
      <c r="K30" s="310">
        <f>'PASSIVO PATR'!K30-'PASSIVO PATR'!AB30-'PASSIVO PATR'!AC30-'PASSIVO PATR'!AF30</f>
        <v>0</v>
      </c>
      <c r="L30" s="311">
        <f t="shared" si="10"/>
        <v>0</v>
      </c>
    </row>
    <row r="31" spans="1:12" x14ac:dyDescent="0.2">
      <c r="A31" s="307"/>
      <c r="B31" s="285"/>
      <c r="C31" s="308" t="s">
        <v>30</v>
      </c>
      <c r="D31" s="285" t="s">
        <v>110</v>
      </c>
      <c r="E31" s="309">
        <f>'PASSIVO PATR'!E31-'PASSIVO PATR'!L31-'PASSIVO PATR'!O31-'PASSIVO PATR'!R31-'PASSIVO PATR'!U31-'PASSIVO PATR'!X31-'PASSIVO PATR'!AA31</f>
        <v>0</v>
      </c>
      <c r="F31" s="310">
        <f>'PASSIVO PATR'!F31-'PASSIVO PATR'!M31-'PASSIVO PATR'!N31</f>
        <v>0</v>
      </c>
      <c r="G31" s="310">
        <f>'PASSIVO PATR'!G31-'PASSIVO PATR'!P31-'PASSIVO PATR'!Q31</f>
        <v>0</v>
      </c>
      <c r="H31" s="310">
        <f>'PASSIVO PATR'!H31-'PASSIVO PATR'!S31-'PASSIVO PATR'!T31-'PASSIVO PATR'!AE31-'PASSIVO PATR'!AI31-'PASSIVO PATR'!AG31</f>
        <v>0</v>
      </c>
      <c r="I31" s="310">
        <f>'PASSIVO PATR'!I31-'PASSIVO PATR'!V31-'PASSIVO PATR'!W31-'PASSIVO PATR'!AH31</f>
        <v>0</v>
      </c>
      <c r="J31" s="310">
        <f>'PASSIVO PATR'!J31-'PASSIVO PATR'!Y31-'PASSIVO PATR'!Z31-'PASSIVO PATR'!AD31</f>
        <v>0</v>
      </c>
      <c r="K31" s="310">
        <f>'PASSIVO PATR'!K31-'PASSIVO PATR'!AB31-'PASSIVO PATR'!AC31-'PASSIVO PATR'!AF31</f>
        <v>0</v>
      </c>
      <c r="L31" s="311">
        <f t="shared" si="10"/>
        <v>0</v>
      </c>
    </row>
    <row r="32" spans="1:12" x14ac:dyDescent="0.2">
      <c r="A32" s="307"/>
      <c r="B32" s="285"/>
      <c r="C32" s="308" t="s">
        <v>31</v>
      </c>
      <c r="D32" s="285" t="s">
        <v>83</v>
      </c>
      <c r="E32" s="309">
        <f>'PASSIVO PATR'!E32-'PASSIVO PATR'!L32-'PASSIVO PATR'!O32-'PASSIVO PATR'!R32-'PASSIVO PATR'!U32-'PASSIVO PATR'!X32-'PASSIVO PATR'!AA32</f>
        <v>0</v>
      </c>
      <c r="F32" s="310">
        <f>'PASSIVO PATR'!F32-'PASSIVO PATR'!M32-'PASSIVO PATR'!N32</f>
        <v>0</v>
      </c>
      <c r="G32" s="310">
        <f>'PASSIVO PATR'!G32-'PASSIVO PATR'!P32-'PASSIVO PATR'!Q32</f>
        <v>54863.539999999106</v>
      </c>
      <c r="H32" s="310">
        <f>'PASSIVO PATR'!H32-'PASSIVO PATR'!S32-'PASSIVO PATR'!T32-'PASSIVO PATR'!AE32-'PASSIVO PATR'!AI32-'PASSIVO PATR'!AG32</f>
        <v>42497.800000000047</v>
      </c>
      <c r="I32" s="310">
        <f>'PASSIVO PATR'!I32-'PASSIVO PATR'!V32-'PASSIVO PATR'!W32-'PASSIVO PATR'!AH32</f>
        <v>0</v>
      </c>
      <c r="J32" s="310">
        <f>'PASSIVO PATR'!J32-'PASSIVO PATR'!Y32-'PASSIVO PATR'!Z32-'PASSIVO PATR'!AD32</f>
        <v>0</v>
      </c>
      <c r="K32" s="310">
        <f>'PASSIVO PATR'!K32-'PASSIVO PATR'!AB32-'PASSIVO PATR'!AC32-'PASSIVO PATR'!AF32</f>
        <v>0</v>
      </c>
      <c r="L32" s="311">
        <f t="shared" si="10"/>
        <v>97361.339999999152</v>
      </c>
    </row>
    <row r="33" spans="1:12" x14ac:dyDescent="0.2">
      <c r="A33" s="307"/>
      <c r="B33" s="318"/>
      <c r="C33" s="308" t="s">
        <v>32</v>
      </c>
      <c r="D33" s="285" t="s">
        <v>84</v>
      </c>
      <c r="E33" s="309">
        <f>'PASSIVO PATR'!E33-'PASSIVO PATR'!L33-'PASSIVO PATR'!O33-'PASSIVO PATR'!R33-'PASSIVO PATR'!U33-'PASSIVO PATR'!X33-'PASSIVO PATR'!AA33</f>
        <v>0</v>
      </c>
      <c r="F33" s="310">
        <f>'PASSIVO PATR'!F33-'PASSIVO PATR'!M33-'PASSIVO PATR'!N33</f>
        <v>0</v>
      </c>
      <c r="G33" s="310">
        <f>'PASSIVO PATR'!G33-'PASSIVO PATR'!P33-'PASSIVO PATR'!Q33</f>
        <v>153591.40999999642</v>
      </c>
      <c r="H33" s="310">
        <f>'PASSIVO PATR'!H33-'PASSIVO PATR'!S33-'PASSIVO PATR'!T33-'PASSIVO PATR'!AE33-'PASSIVO PATR'!AI33-'PASSIVO PATR'!AG33</f>
        <v>11092904.699999988</v>
      </c>
      <c r="I33" s="310">
        <f>'PASSIVO PATR'!I33-'PASSIVO PATR'!V33-'PASSIVO PATR'!W33-'PASSIVO PATR'!AH33</f>
        <v>0</v>
      </c>
      <c r="J33" s="310">
        <f>'PASSIVO PATR'!J33-'PASSIVO PATR'!Y33-'PASSIVO PATR'!Z33-'PASSIVO PATR'!AD33</f>
        <v>0</v>
      </c>
      <c r="K33" s="310">
        <f>'PASSIVO PATR'!K33-'PASSIVO PATR'!AB33-'PASSIVO PATR'!AC33-'PASSIVO PATR'!AF33</f>
        <v>0</v>
      </c>
      <c r="L33" s="311">
        <f t="shared" si="10"/>
        <v>11246496.109999985</v>
      </c>
    </row>
    <row r="34" spans="1:12" x14ac:dyDescent="0.2">
      <c r="A34" s="307"/>
      <c r="B34" s="285">
        <v>2</v>
      </c>
      <c r="C34" s="308"/>
      <c r="D34" s="285" t="s">
        <v>111</v>
      </c>
      <c r="E34" s="309">
        <f>'PASSIVO PATR'!E34-'PASSIVO PATR'!L34-'PASSIVO PATR'!O34-'PASSIVO PATR'!R34-'PASSIVO PATR'!U34-'PASSIVO PATR'!X34-'PASSIVO PATR'!AA34</f>
        <v>2421877.5680879503</v>
      </c>
      <c r="F34" s="310">
        <f>'PASSIVO PATR'!F34-'PASSIVO PATR'!M34-'PASSIVO PATR'!N34</f>
        <v>0</v>
      </c>
      <c r="G34" s="310">
        <f>'PASSIVO PATR'!G34-'PASSIVO PATR'!P34-'PASSIVO PATR'!Q34</f>
        <v>112344.53000000119</v>
      </c>
      <c r="H34" s="310">
        <f>'PASSIVO PATR'!H34-'PASSIVO PATR'!S34-'PASSIVO PATR'!T34-'PASSIVO PATR'!AE34-'PASSIVO PATR'!AI34-'PASSIVO PATR'!AG34</f>
        <v>145651.64999999991</v>
      </c>
      <c r="I34" s="310">
        <f>'PASSIVO PATR'!I34-'PASSIVO PATR'!V34-'PASSIVO PATR'!W34-'PASSIVO PATR'!AH34</f>
        <v>3.319999999992433</v>
      </c>
      <c r="J34" s="310">
        <f>'PASSIVO PATR'!J34-'PASSIVO PATR'!Y34-'PASSIVO PATR'!Z34-'PASSIVO PATR'!AD34</f>
        <v>485258.55000000075</v>
      </c>
      <c r="K34" s="310">
        <f>'PASSIVO PATR'!K34-'PASSIVO PATR'!AB34-'PASSIVO PATR'!AC34-'PASSIVO PATR'!AF34</f>
        <v>0</v>
      </c>
      <c r="L34" s="311">
        <f t="shared" si="10"/>
        <v>3165135.618087952</v>
      </c>
    </row>
    <row r="35" spans="1:12" x14ac:dyDescent="0.2">
      <c r="A35" s="307"/>
      <c r="B35" s="285">
        <v>3</v>
      </c>
      <c r="C35" s="308"/>
      <c r="D35" s="285" t="s">
        <v>112</v>
      </c>
      <c r="E35" s="309">
        <f>'PASSIVO PATR'!E35-'PASSIVO PATR'!L35-'PASSIVO PATR'!O35-'PASSIVO PATR'!R35-'PASSIVO PATR'!U35-'PASSIVO PATR'!X35-'PASSIVO PATR'!AA35</f>
        <v>0</v>
      </c>
      <c r="F35" s="310">
        <f>'PASSIVO PATR'!F35-'PASSIVO PATR'!M35-'PASSIVO PATR'!N35</f>
        <v>0</v>
      </c>
      <c r="G35" s="310">
        <f>'PASSIVO PATR'!G35-'PASSIVO PATR'!P35-'PASSIVO PATR'!Q35</f>
        <v>61391.286788783967</v>
      </c>
      <c r="H35" s="310">
        <f>'PASSIVO PATR'!H35-'PASSIVO PATR'!S35-'PASSIVO PATR'!T35-'PASSIVO PATR'!AE35-'PASSIVO PATR'!AI35-'PASSIVO PATR'!AG35</f>
        <v>0</v>
      </c>
      <c r="I35" s="310">
        <f>'PASSIVO PATR'!I35-'PASSIVO PATR'!V35-'PASSIVO PATR'!W35-'PASSIVO PATR'!AH35</f>
        <v>0</v>
      </c>
      <c r="J35" s="310">
        <f>'PASSIVO PATR'!J35-'PASSIVO PATR'!Y35-'PASSIVO PATR'!Z35-'PASSIVO PATR'!AD35</f>
        <v>0</v>
      </c>
      <c r="K35" s="310">
        <f>'PASSIVO PATR'!K35-'PASSIVO PATR'!AB35-'PASSIVO PATR'!AC35-'PASSIVO PATR'!AF35</f>
        <v>0</v>
      </c>
      <c r="L35" s="311">
        <f t="shared" si="10"/>
        <v>61391.286788783967</v>
      </c>
    </row>
    <row r="36" spans="1:12" x14ac:dyDescent="0.2">
      <c r="A36" s="307"/>
      <c r="B36" s="318">
        <v>4</v>
      </c>
      <c r="C36" s="319"/>
      <c r="D36" s="285" t="s">
        <v>146</v>
      </c>
      <c r="E36" s="309">
        <f>'PASSIVO PATR'!E36-'PASSIVO PATR'!L36-'PASSIVO PATR'!O36-'PASSIVO PATR'!R36-'PASSIVO PATR'!U36-'PASSIVO PATR'!X36-'PASSIVO PATR'!AA36</f>
        <v>788077.15</v>
      </c>
      <c r="F36" s="310">
        <f>'PASSIVO PATR'!F36-'PASSIVO PATR'!M36-'PASSIVO PATR'!N36</f>
        <v>0</v>
      </c>
      <c r="G36" s="310">
        <f>'PASSIVO PATR'!G36-'PASSIVO PATR'!P36-'PASSIVO PATR'!Q36</f>
        <v>97031.409999996424</v>
      </c>
      <c r="H36" s="310">
        <f>'PASSIVO PATR'!H36-'PASSIVO PATR'!S36-'PASSIVO PATR'!T36-'PASSIVO PATR'!AE36-'PASSIVO PATR'!AI36-'PASSIVO PATR'!AG36</f>
        <v>1862950.799999997</v>
      </c>
      <c r="I36" s="310">
        <f>'PASSIVO PATR'!I36-'PASSIVO PATR'!V36-'PASSIVO PATR'!W36-'PASSIVO PATR'!AH36</f>
        <v>152.50999999977648</v>
      </c>
      <c r="J36" s="310">
        <f>'PASSIVO PATR'!J36-'PASSIVO PATR'!Y36-'PASSIVO PATR'!Z36-'PASSIVO PATR'!AD36</f>
        <v>2769175</v>
      </c>
      <c r="K36" s="310">
        <f>'PASSIVO PATR'!K36-'PASSIVO PATR'!AB36-'PASSIVO PATR'!AC36-'PASSIVO PATR'!AF36</f>
        <v>0</v>
      </c>
      <c r="L36" s="311">
        <f t="shared" si="10"/>
        <v>5517386.8699999936</v>
      </c>
    </row>
    <row r="37" spans="1:12" x14ac:dyDescent="0.2">
      <c r="A37" s="307"/>
      <c r="B37" s="318"/>
      <c r="C37" s="308" t="s">
        <v>29</v>
      </c>
      <c r="D37" s="285" t="s">
        <v>188</v>
      </c>
      <c r="E37" s="309">
        <f>'PASSIVO PATR'!E37-'PASSIVO PATR'!L37-'PASSIVO PATR'!O37-'PASSIVO PATR'!R37-'PASSIVO PATR'!U37-'PASSIVO PATR'!X37-'PASSIVO PATR'!AA37</f>
        <v>0</v>
      </c>
      <c r="F37" s="310">
        <f>'PASSIVO PATR'!F37-'PASSIVO PATR'!M37-'PASSIVO PATR'!N37</f>
        <v>0</v>
      </c>
      <c r="G37" s="310">
        <f>'PASSIVO PATR'!G37-'PASSIVO PATR'!P37-'PASSIVO PATR'!Q37</f>
        <v>0</v>
      </c>
      <c r="H37" s="310">
        <f>'PASSIVO PATR'!H37-'PASSIVO PATR'!S37-'PASSIVO PATR'!T37-'PASSIVO PATR'!AE37-'PASSIVO PATR'!AI37-'PASSIVO PATR'!AG37</f>
        <v>0</v>
      </c>
      <c r="I37" s="310">
        <f>'PASSIVO PATR'!I37-'PASSIVO PATR'!V37-'PASSIVO PATR'!W37-'PASSIVO PATR'!AH37</f>
        <v>0</v>
      </c>
      <c r="J37" s="310">
        <f>'PASSIVO PATR'!J37-'PASSIVO PATR'!Y37-'PASSIVO PATR'!Z37-'PASSIVO PATR'!AD37</f>
        <v>0</v>
      </c>
      <c r="K37" s="310">
        <f>'PASSIVO PATR'!K37-'PASSIVO PATR'!AB37-'PASSIVO PATR'!AC37-'PASSIVO PATR'!AF37</f>
        <v>0</v>
      </c>
      <c r="L37" s="311">
        <f t="shared" si="10"/>
        <v>0</v>
      </c>
    </row>
    <row r="38" spans="1:12" x14ac:dyDescent="0.2">
      <c r="A38" s="307"/>
      <c r="B38" s="318"/>
      <c r="C38" s="308" t="s">
        <v>30</v>
      </c>
      <c r="D38" s="285" t="s">
        <v>105</v>
      </c>
      <c r="E38" s="309">
        <f>'PASSIVO PATR'!E38-'PASSIVO PATR'!L38-'PASSIVO PATR'!O38-'PASSIVO PATR'!R38-'PASSIVO PATR'!U38-'PASSIVO PATR'!X38-'PASSIVO PATR'!AA38</f>
        <v>593196.25</v>
      </c>
      <c r="F38" s="310">
        <f>'PASSIVO PATR'!F38-'PASSIVO PATR'!M38-'PASSIVO PATR'!N38</f>
        <v>0</v>
      </c>
      <c r="G38" s="310">
        <f>'PASSIVO PATR'!G38-'PASSIVO PATR'!P38-'PASSIVO PATR'!Q38</f>
        <v>97031.409999996424</v>
      </c>
      <c r="H38" s="310">
        <f>'PASSIVO PATR'!H38-'PASSIVO PATR'!S38-'PASSIVO PATR'!T38-'PASSIVO PATR'!AE38-'PASSIVO PATR'!AI38-'PASSIVO PATR'!AG38</f>
        <v>0</v>
      </c>
      <c r="I38" s="310">
        <f>'PASSIVO PATR'!I38-'PASSIVO PATR'!V38-'PASSIVO PATR'!W38-'PASSIVO PATR'!AH38</f>
        <v>0</v>
      </c>
      <c r="J38" s="310">
        <f>'PASSIVO PATR'!J38-'PASSIVO PATR'!Y38-'PASSIVO PATR'!Z38-'PASSIVO PATR'!AD38</f>
        <v>0</v>
      </c>
      <c r="K38" s="310">
        <f>'PASSIVO PATR'!K38-'PASSIVO PATR'!AB38-'PASSIVO PATR'!AC38-'PASSIVO PATR'!AF38</f>
        <v>0</v>
      </c>
      <c r="L38" s="311">
        <f t="shared" si="10"/>
        <v>690227.65999999642</v>
      </c>
    </row>
    <row r="39" spans="1:12" x14ac:dyDescent="0.2">
      <c r="A39" s="307"/>
      <c r="B39" s="285"/>
      <c r="C39" s="308" t="s">
        <v>31</v>
      </c>
      <c r="D39" s="285" t="s">
        <v>88</v>
      </c>
      <c r="E39" s="309">
        <f>'PASSIVO PATR'!E39-'PASSIVO PATR'!L39-'PASSIVO PATR'!O39-'PASSIVO PATR'!R39-'PASSIVO PATR'!U39-'PASSIVO PATR'!X39-'PASSIVO PATR'!AA39</f>
        <v>0</v>
      </c>
      <c r="F39" s="310">
        <f>'PASSIVO PATR'!F39-'PASSIVO PATR'!M39-'PASSIVO PATR'!N39</f>
        <v>0</v>
      </c>
      <c r="G39" s="310">
        <f>'PASSIVO PATR'!G39-'PASSIVO PATR'!P39-'PASSIVO PATR'!Q39</f>
        <v>0</v>
      </c>
      <c r="H39" s="310">
        <f>'PASSIVO PATR'!H39-'PASSIVO PATR'!S39-'PASSIVO PATR'!T39-'PASSIVO PATR'!AE39-'PASSIVO PATR'!AI39-'PASSIVO PATR'!AG39</f>
        <v>1862950.799999997</v>
      </c>
      <c r="I39" s="310">
        <f>'PASSIVO PATR'!I39-'PASSIVO PATR'!V39-'PASSIVO PATR'!W39-'PASSIVO PATR'!AH39</f>
        <v>0</v>
      </c>
      <c r="J39" s="310">
        <f>'PASSIVO PATR'!J39-'PASSIVO PATR'!Y39-'PASSIVO PATR'!Z39-'PASSIVO PATR'!AD39</f>
        <v>2769175</v>
      </c>
      <c r="K39" s="310">
        <f>'PASSIVO PATR'!K39-'PASSIVO PATR'!AB39-'PASSIVO PATR'!AC39-'PASSIVO PATR'!AF39</f>
        <v>0</v>
      </c>
      <c r="L39" s="311">
        <f t="shared" si="10"/>
        <v>4632125.799999997</v>
      </c>
    </row>
    <row r="40" spans="1:12" x14ac:dyDescent="0.2">
      <c r="A40" s="307"/>
      <c r="B40" s="285"/>
      <c r="C40" s="308" t="s">
        <v>32</v>
      </c>
      <c r="D40" s="285" t="s">
        <v>104</v>
      </c>
      <c r="E40" s="309">
        <f>'PASSIVO PATR'!E40-'PASSIVO PATR'!L40-'PASSIVO PATR'!O40-'PASSIVO PATR'!R40-'PASSIVO PATR'!U40-'PASSIVO PATR'!X40-'PASSIVO PATR'!AA40</f>
        <v>0</v>
      </c>
      <c r="F40" s="310">
        <f>'PASSIVO PATR'!F40-'PASSIVO PATR'!M40-'PASSIVO PATR'!N40</f>
        <v>0</v>
      </c>
      <c r="G40" s="310">
        <f>'PASSIVO PATR'!G40-'PASSIVO PATR'!P40-'PASSIVO PATR'!Q40</f>
        <v>0</v>
      </c>
      <c r="H40" s="310">
        <f>'PASSIVO PATR'!H40-'PASSIVO PATR'!S40-'PASSIVO PATR'!T40-'PASSIVO PATR'!AE40-'PASSIVO PATR'!AI40-'PASSIVO PATR'!AG40</f>
        <v>0</v>
      </c>
      <c r="I40" s="310">
        <f>'PASSIVO PATR'!I40-'PASSIVO PATR'!V40-'PASSIVO PATR'!W40-'PASSIVO PATR'!AH40</f>
        <v>0</v>
      </c>
      <c r="J40" s="310">
        <f>'PASSIVO PATR'!J40-'PASSIVO PATR'!Y40-'PASSIVO PATR'!Z40-'PASSIVO PATR'!AD40</f>
        <v>0</v>
      </c>
      <c r="K40" s="310">
        <f>'PASSIVO PATR'!K40-'PASSIVO PATR'!AB40-'PASSIVO PATR'!AC40-'PASSIVO PATR'!AF40</f>
        <v>0</v>
      </c>
      <c r="L40" s="311">
        <f t="shared" si="10"/>
        <v>0</v>
      </c>
    </row>
    <row r="41" spans="1:12" x14ac:dyDescent="0.2">
      <c r="A41" s="307"/>
      <c r="B41" s="285"/>
      <c r="C41" s="308" t="s">
        <v>33</v>
      </c>
      <c r="D41" s="285" t="s">
        <v>101</v>
      </c>
      <c r="E41" s="309">
        <f>'PASSIVO PATR'!E41-'PASSIVO PATR'!L41-'PASSIVO PATR'!O41-'PASSIVO PATR'!R41-'PASSIVO PATR'!U41-'PASSIVO PATR'!X41-'PASSIVO PATR'!AA41</f>
        <v>194880.9</v>
      </c>
      <c r="F41" s="310">
        <f>'PASSIVO PATR'!F41-'PASSIVO PATR'!M41-'PASSIVO PATR'!N41</f>
        <v>0</v>
      </c>
      <c r="G41" s="310">
        <f>'PASSIVO PATR'!G41-'PASSIVO PATR'!P41-'PASSIVO PATR'!Q41</f>
        <v>0</v>
      </c>
      <c r="H41" s="310">
        <f>'PASSIVO PATR'!H41-'PASSIVO PATR'!S41-'PASSIVO PATR'!T41-'PASSIVO PATR'!AE41-'PASSIVO PATR'!AI41-'PASSIVO PATR'!AG41</f>
        <v>0</v>
      </c>
      <c r="I41" s="310">
        <f>'PASSIVO PATR'!I41-'PASSIVO PATR'!V41-'PASSIVO PATR'!W41-'PASSIVO PATR'!AH41</f>
        <v>152.50999999977648</v>
      </c>
      <c r="J41" s="310">
        <f>'PASSIVO PATR'!J41-'PASSIVO PATR'!Y41-'PASSIVO PATR'!Z41-'PASSIVO PATR'!AD41</f>
        <v>0</v>
      </c>
      <c r="K41" s="310">
        <f>'PASSIVO PATR'!K41-'PASSIVO PATR'!AB41-'PASSIVO PATR'!AC41-'PASSIVO PATR'!AF41</f>
        <v>0</v>
      </c>
      <c r="L41" s="311">
        <f t="shared" si="10"/>
        <v>195033.40999999977</v>
      </c>
    </row>
    <row r="42" spans="1:12" x14ac:dyDescent="0.2">
      <c r="A42" s="307"/>
      <c r="B42" s="285">
        <v>5</v>
      </c>
      <c r="C42" s="308"/>
      <c r="D42" s="285" t="s">
        <v>158</v>
      </c>
      <c r="E42" s="309">
        <f>'PASSIVO PATR'!E42-'PASSIVO PATR'!L42-'PASSIVO PATR'!O42-'PASSIVO PATR'!R42-'PASSIVO PATR'!U42-'PASSIVO PATR'!X42-'PASSIVO PATR'!AA42</f>
        <v>1418104.31</v>
      </c>
      <c r="F42" s="310">
        <f>'PASSIVO PATR'!F42-'PASSIVO PATR'!M42-'PASSIVO PATR'!N42</f>
        <v>0</v>
      </c>
      <c r="G42" s="310">
        <f>'PASSIVO PATR'!G42-'PASSIVO PATR'!P42-'PASSIVO PATR'!Q42</f>
        <v>32301.690000001341</v>
      </c>
      <c r="H42" s="310">
        <f>'PASSIVO PATR'!H42-'PASSIVO PATR'!S42-'PASSIVO PATR'!T42-'PASSIVO PATR'!AE42-'PASSIVO PATR'!AI42-'PASSIVO PATR'!AG42</f>
        <v>205337.85000000009</v>
      </c>
      <c r="I42" s="310">
        <f>'PASSIVO PATR'!I42-'PASSIVO PATR'!V42-'PASSIVO PATR'!W42-'PASSIVO PATR'!AH42</f>
        <v>20.130000000121072</v>
      </c>
      <c r="J42" s="310">
        <f>'PASSIVO PATR'!J42-'PASSIVO PATR'!Y42-'PASSIVO PATR'!Z42-'PASSIVO PATR'!AD42</f>
        <v>144266.76000000024</v>
      </c>
      <c r="K42" s="310">
        <f>'PASSIVO PATR'!K42-'PASSIVO PATR'!AB42-'PASSIVO PATR'!AC42-'PASSIVO PATR'!AF42</f>
        <v>0</v>
      </c>
      <c r="L42" s="311">
        <f t="shared" si="10"/>
        <v>1800030.7400000019</v>
      </c>
    </row>
    <row r="43" spans="1:12" x14ac:dyDescent="0.2">
      <c r="A43" s="307"/>
      <c r="B43" s="285"/>
      <c r="C43" s="308" t="s">
        <v>29</v>
      </c>
      <c r="D43" s="320" t="s">
        <v>147</v>
      </c>
      <c r="E43" s="309">
        <f>'PASSIVO PATR'!E43-'PASSIVO PATR'!L43-'PASSIVO PATR'!O43-'PASSIVO PATR'!R43-'PASSIVO PATR'!U43-'PASSIVO PATR'!X43-'PASSIVO PATR'!AA43</f>
        <v>58361.09</v>
      </c>
      <c r="F43" s="310">
        <f>'PASSIVO PATR'!F43-'PASSIVO PATR'!M43-'PASSIVO PATR'!N43</f>
        <v>0</v>
      </c>
      <c r="G43" s="310">
        <f>'PASSIVO PATR'!G43-'PASSIVO PATR'!P43-'PASSIVO PATR'!Q43</f>
        <v>4468.1100000003353</v>
      </c>
      <c r="H43" s="310">
        <f>'PASSIVO PATR'!H43-'PASSIVO PATR'!S43-'PASSIVO PATR'!T43-'PASSIVO PATR'!AE43-'PASSIVO PATR'!AI43-'PASSIVO PATR'!AG43</f>
        <v>9058.75</v>
      </c>
      <c r="I43" s="310">
        <f>'PASSIVO PATR'!I43-'PASSIVO PATR'!V43-'PASSIVO PATR'!W43-'PASSIVO PATR'!AH43</f>
        <v>9.0000000000145519E-2</v>
      </c>
      <c r="J43" s="310">
        <f>'PASSIVO PATR'!J43-'PASSIVO PATR'!Y43-'PASSIVO PATR'!Z43-'PASSIVO PATR'!AD43</f>
        <v>14250.400000000023</v>
      </c>
      <c r="K43" s="310">
        <f>'PASSIVO PATR'!K43-'PASSIVO PATR'!AB43-'PASSIVO PATR'!AC43-'PASSIVO PATR'!AF43</f>
        <v>0</v>
      </c>
      <c r="L43" s="311">
        <f t="shared" si="10"/>
        <v>86138.440000000352</v>
      </c>
    </row>
    <row r="44" spans="1:12" x14ac:dyDescent="0.2">
      <c r="A44" s="307"/>
      <c r="B44" s="285"/>
      <c r="C44" s="308" t="s">
        <v>30</v>
      </c>
      <c r="D44" s="320" t="s">
        <v>148</v>
      </c>
      <c r="E44" s="309">
        <f>'PASSIVO PATR'!E44-'PASSIVO PATR'!L44-'PASSIVO PATR'!O44-'PASSIVO PATR'!R44-'PASSIVO PATR'!U44-'PASSIVO PATR'!X44-'PASSIVO PATR'!AA44</f>
        <v>0</v>
      </c>
      <c r="F44" s="310">
        <f>'PASSIVO PATR'!F44-'PASSIVO PATR'!M44-'PASSIVO PATR'!N44</f>
        <v>0</v>
      </c>
      <c r="G44" s="310">
        <f>'PASSIVO PATR'!G44-'PASSIVO PATR'!P44-'PASSIVO PATR'!Q44</f>
        <v>8811.4399999994785</v>
      </c>
      <c r="H44" s="310">
        <f>'PASSIVO PATR'!H44-'PASSIVO PATR'!S44-'PASSIVO PATR'!T44-'PASSIVO PATR'!AE44-'PASSIVO PATR'!AI44-'PASSIVO PATR'!AG44</f>
        <v>4893.9499999999971</v>
      </c>
      <c r="I44" s="310">
        <f>'PASSIVO PATR'!I44-'PASSIVO PATR'!V44-'PASSIVO PATR'!W44-'PASSIVO PATR'!AH44</f>
        <v>1.2300000000032014</v>
      </c>
      <c r="J44" s="310">
        <f>'PASSIVO PATR'!J44-'PASSIVO PATR'!Y44-'PASSIVO PATR'!Z44-'PASSIVO PATR'!AD44</f>
        <v>33294.75</v>
      </c>
      <c r="K44" s="310">
        <f>'PASSIVO PATR'!K44-'PASSIVO PATR'!AB44-'PASSIVO PATR'!AC44-'PASSIVO PATR'!AF44</f>
        <v>0</v>
      </c>
      <c r="L44" s="311">
        <f t="shared" si="10"/>
        <v>47001.369999999479</v>
      </c>
    </row>
    <row r="45" spans="1:12" ht="15" x14ac:dyDescent="0.2">
      <c r="A45" s="307"/>
      <c r="B45" s="285"/>
      <c r="C45" s="308" t="s">
        <v>31</v>
      </c>
      <c r="D45" s="320" t="s">
        <v>221</v>
      </c>
      <c r="E45" s="309">
        <f>'PASSIVO PATR'!E45-'PASSIVO PATR'!L45-'PASSIVO PATR'!O45-'PASSIVO PATR'!R45-'PASSIVO PATR'!U45-'PASSIVO PATR'!X45-'PASSIVO PATR'!AA45</f>
        <v>0</v>
      </c>
      <c r="F45" s="310">
        <f>'PASSIVO PATR'!F45-'PASSIVO PATR'!M45-'PASSIVO PATR'!N45</f>
        <v>0</v>
      </c>
      <c r="G45" s="310">
        <f>'PASSIVO PATR'!G45-'PASSIVO PATR'!P45-'PASSIVO PATR'!Q45</f>
        <v>0</v>
      </c>
      <c r="H45" s="310">
        <f>'PASSIVO PATR'!H45-'PASSIVO PATR'!S45-'PASSIVO PATR'!T45-'PASSIVO PATR'!AE45-'PASSIVO PATR'!AI45-'PASSIVO PATR'!AG45</f>
        <v>0</v>
      </c>
      <c r="I45" s="310">
        <f>'PASSIVO PATR'!I45-'PASSIVO PATR'!V45-'PASSIVO PATR'!W45-'PASSIVO PATR'!AH45</f>
        <v>0</v>
      </c>
      <c r="J45" s="310">
        <f>'PASSIVO PATR'!J45-'PASSIVO PATR'!Y45-'PASSIVO PATR'!Z45-'PASSIVO PATR'!AD45</f>
        <v>0</v>
      </c>
      <c r="K45" s="310">
        <f>'PASSIVO PATR'!K45-'PASSIVO PATR'!AB45-'PASSIVO PATR'!AC45-'PASSIVO PATR'!AF45</f>
        <v>0</v>
      </c>
      <c r="L45" s="311">
        <f t="shared" si="10"/>
        <v>0</v>
      </c>
    </row>
    <row r="46" spans="1:12" x14ac:dyDescent="0.2">
      <c r="A46" s="307"/>
      <c r="B46" s="285"/>
      <c r="C46" s="308" t="s">
        <v>32</v>
      </c>
      <c r="D46" s="320" t="s">
        <v>62</v>
      </c>
      <c r="E46" s="309">
        <f>'PASSIVO PATR'!E46-'PASSIVO PATR'!L46-'PASSIVO PATR'!O46-'PASSIVO PATR'!R46-'PASSIVO PATR'!U46-'PASSIVO PATR'!X46-'PASSIVO PATR'!AA46</f>
        <v>1359743.22</v>
      </c>
      <c r="F46" s="310">
        <f>'PASSIVO PATR'!F46-'PASSIVO PATR'!M46-'PASSIVO PATR'!N46</f>
        <v>0</v>
      </c>
      <c r="G46" s="310">
        <f>'PASSIVO PATR'!G46-'PASSIVO PATR'!P46-'PASSIVO PATR'!Q46</f>
        <v>19022.140000000596</v>
      </c>
      <c r="H46" s="310">
        <f>'PASSIVO PATR'!H46-'PASSIVO PATR'!S46-'PASSIVO PATR'!T46-'PASSIVO PATR'!AE46-'PASSIVO PATR'!AI46-'PASSIVO PATR'!AG46</f>
        <v>191385.14999999991</v>
      </c>
      <c r="I46" s="310">
        <f>'PASSIVO PATR'!I46-'PASSIVO PATR'!V46-'PASSIVO PATR'!W46-'PASSIVO PATR'!AH46</f>
        <v>18.810000000055879</v>
      </c>
      <c r="J46" s="310">
        <f>'PASSIVO PATR'!J46-'PASSIVO PATR'!Y46-'PASSIVO PATR'!Z46-'PASSIVO PATR'!AD46</f>
        <v>96721.610000000102</v>
      </c>
      <c r="K46" s="310">
        <f>'PASSIVO PATR'!K46-'PASSIVO PATR'!AB46-'PASSIVO PATR'!AC46-'PASSIVO PATR'!AF46</f>
        <v>0</v>
      </c>
      <c r="L46" s="311">
        <f t="shared" si="10"/>
        <v>1666890.9300000006</v>
      </c>
    </row>
    <row r="47" spans="1:12" x14ac:dyDescent="0.2">
      <c r="A47" s="307"/>
      <c r="B47" s="285"/>
      <c r="C47" s="308"/>
      <c r="D47" s="316" t="s">
        <v>85</v>
      </c>
      <c r="E47" s="314">
        <f>E29+E34+E35+E36+E42</f>
        <v>4628059.0280879503</v>
      </c>
      <c r="F47" s="314">
        <f t="shared" ref="F47:H47" si="11">F29+F34+F35+F36+F42</f>
        <v>0</v>
      </c>
      <c r="G47" s="314">
        <f t="shared" si="11"/>
        <v>511523.866788771</v>
      </c>
      <c r="H47" s="314">
        <f t="shared" si="11"/>
        <v>13349342.799999997</v>
      </c>
      <c r="I47" s="314">
        <f t="shared" ref="I47:K47" si="12">I29+I34+I35+I36+I42</f>
        <v>175.95999999988999</v>
      </c>
      <c r="J47" s="314">
        <f t="shared" si="12"/>
        <v>3398700.310000001</v>
      </c>
      <c r="K47" s="314">
        <f t="shared" si="12"/>
        <v>0</v>
      </c>
      <c r="L47" s="315">
        <f>L29+L34+L35+L36+L42</f>
        <v>21887801.964876719</v>
      </c>
    </row>
    <row r="48" spans="1:12" x14ac:dyDescent="0.2">
      <c r="A48" s="307"/>
      <c r="B48" s="285"/>
      <c r="C48" s="308"/>
      <c r="D48" s="285"/>
      <c r="E48" s="309"/>
      <c r="F48" s="310"/>
      <c r="G48" s="310"/>
      <c r="H48" s="310"/>
      <c r="I48" s="310"/>
      <c r="J48" s="310"/>
      <c r="K48" s="310"/>
      <c r="L48" s="311"/>
    </row>
    <row r="49" spans="1:12" ht="15" x14ac:dyDescent="0.2">
      <c r="A49" s="307"/>
      <c r="B49" s="285"/>
      <c r="C49" s="321"/>
      <c r="D49" s="322" t="s">
        <v>189</v>
      </c>
      <c r="E49" s="309"/>
      <c r="F49" s="310"/>
      <c r="G49" s="310"/>
      <c r="H49" s="310"/>
      <c r="I49" s="310"/>
      <c r="J49" s="310"/>
      <c r="K49" s="310"/>
      <c r="L49" s="311"/>
    </row>
    <row r="50" spans="1:12" x14ac:dyDescent="0.2">
      <c r="A50" s="307" t="s">
        <v>41</v>
      </c>
      <c r="B50" s="285"/>
      <c r="C50" s="308"/>
      <c r="D50" s="285" t="s">
        <v>47</v>
      </c>
      <c r="E50" s="309">
        <f>'PASSIVO PATR'!E50-'PASSIVO PATR'!L50-'PASSIVO PATR'!O50-'PASSIVO PATR'!R50-'PASSIVO PATR'!U50-'PASSIVO PATR'!X50-'PASSIVO PATR'!AA50</f>
        <v>54952.35</v>
      </c>
      <c r="F50" s="310">
        <f>'PASSIVO PATR'!F50-'PASSIVO PATR'!M50-'PASSIVO PATR'!N50</f>
        <v>0</v>
      </c>
      <c r="G50" s="310">
        <f>'PASSIVO PATR'!G50-'PASSIVO PATR'!P50-'PASSIVO PATR'!Q50</f>
        <v>20.669999999998254</v>
      </c>
      <c r="H50" s="310">
        <f>'PASSIVO PATR'!H50-'PASSIVO PATR'!S50-'PASSIVO PATR'!T50-'PASSIVO PATR'!AE50-'PASSIVO PATR'!AI50-'PASSIVO PATR'!AG50</f>
        <v>447711.05000000075</v>
      </c>
      <c r="I50" s="310">
        <f>'PASSIVO PATR'!I50-'PASSIVO PATR'!V50-'PASSIVO PATR'!W50-'PASSIVO PATR'!AH50</f>
        <v>0</v>
      </c>
      <c r="J50" s="310">
        <f>'PASSIVO PATR'!J50-'PASSIVO PATR'!Y50-'PASSIVO PATR'!Z50-'PASSIVO PATR'!AD50</f>
        <v>0.94999999999999929</v>
      </c>
      <c r="K50" s="310">
        <f>'PASSIVO PATR'!K50-'PASSIVO PATR'!AB50-'PASSIVO PATR'!AC50-'PASSIVO PATR'!AF50</f>
        <v>0</v>
      </c>
      <c r="L50" s="311">
        <f t="shared" ref="L50:L56" si="13">SUM(E50:K50)</f>
        <v>502685.02000000078</v>
      </c>
    </row>
    <row r="51" spans="1:12" x14ac:dyDescent="0.2">
      <c r="A51" s="307" t="s">
        <v>42</v>
      </c>
      <c r="B51" s="285"/>
      <c r="C51" s="308"/>
      <c r="D51" s="285" t="s">
        <v>48</v>
      </c>
      <c r="E51" s="309">
        <f>'PASSIVO PATR'!E51-'PASSIVO PATR'!L51-'PASSIVO PATR'!O51-'PASSIVO PATR'!R51-'PASSIVO PATR'!U51-'PASSIVO PATR'!X51-'PASSIVO PATR'!AA51</f>
        <v>19515012.039999999</v>
      </c>
      <c r="F51" s="310">
        <f>'PASSIVO PATR'!F51-'PASSIVO PATR'!M51-'PASSIVO PATR'!N51</f>
        <v>0</v>
      </c>
      <c r="G51" s="310">
        <f>'PASSIVO PATR'!G51-'PASSIVO PATR'!P51-'PASSIVO PATR'!Q51</f>
        <v>107229.23999999464</v>
      </c>
      <c r="H51" s="310">
        <f>'PASSIVO PATR'!H51-'PASSIVO PATR'!S51-'PASSIVO PATR'!T51-'PASSIVO PATR'!AE51-'PASSIVO PATR'!AI51-'PASSIVO PATR'!AG51</f>
        <v>0</v>
      </c>
      <c r="I51" s="310">
        <f>'PASSIVO PATR'!I51-'PASSIVO PATR'!V51-'PASSIVO PATR'!W51-'PASSIVO PATR'!AH51</f>
        <v>2786.609999999404</v>
      </c>
      <c r="J51" s="310">
        <f>'PASSIVO PATR'!J51-'PASSIVO PATR'!Y51-'PASSIVO PATR'!Z51-'PASSIVO PATR'!AD51</f>
        <v>0</v>
      </c>
      <c r="K51" s="310">
        <f>'PASSIVO PATR'!K51-'PASSIVO PATR'!AB51-'PASSIVO PATR'!AC51-'PASSIVO PATR'!AF51</f>
        <v>0</v>
      </c>
      <c r="L51" s="311">
        <f t="shared" si="13"/>
        <v>19625027.889999993</v>
      </c>
    </row>
    <row r="52" spans="1:12" x14ac:dyDescent="0.2">
      <c r="A52" s="307"/>
      <c r="B52" s="285">
        <v>1</v>
      </c>
      <c r="C52" s="308"/>
      <c r="D52" s="285" t="s">
        <v>208</v>
      </c>
      <c r="E52" s="309">
        <f>'PASSIVO PATR'!E52-'PASSIVO PATR'!L52-'PASSIVO PATR'!O52-'PASSIVO PATR'!R52-'PASSIVO PATR'!U52-'PASSIVO PATR'!X52-'PASSIVO PATR'!AA52</f>
        <v>19515012.039999999</v>
      </c>
      <c r="F52" s="310">
        <f>'PASSIVO PATR'!F52-'PASSIVO PATR'!M52-'PASSIVO PATR'!N52</f>
        <v>0</v>
      </c>
      <c r="G52" s="310">
        <f>'PASSIVO PATR'!G52-'PASSIVO PATR'!P52-'PASSIVO PATR'!Q52</f>
        <v>0</v>
      </c>
      <c r="H52" s="310">
        <f>'PASSIVO PATR'!H52-'PASSIVO PATR'!S52-'PASSIVO PATR'!T52-'PASSIVO PATR'!AE52-'PASSIVO PATR'!AI52-'PASSIVO PATR'!AG52</f>
        <v>0</v>
      </c>
      <c r="I52" s="310">
        <f>'PASSIVO PATR'!I52-'PASSIVO PATR'!V52-'PASSIVO PATR'!W52-'PASSIVO PATR'!AH52</f>
        <v>2786.609999999404</v>
      </c>
      <c r="J52" s="310">
        <f>'PASSIVO PATR'!J52-'PASSIVO PATR'!Y52-'PASSIVO PATR'!Z52-'PASSIVO PATR'!AD52</f>
        <v>0</v>
      </c>
      <c r="K52" s="310">
        <f>'PASSIVO PATR'!K52-'PASSIVO PATR'!AB52-'PASSIVO PATR'!AC52-'PASSIVO PATR'!AF52</f>
        <v>0</v>
      </c>
      <c r="L52" s="311">
        <f t="shared" si="13"/>
        <v>19517798.649999999</v>
      </c>
    </row>
    <row r="53" spans="1:12" x14ac:dyDescent="0.2">
      <c r="A53" s="307"/>
      <c r="B53" s="285"/>
      <c r="C53" s="308" t="s">
        <v>29</v>
      </c>
      <c r="D53" s="285" t="s">
        <v>209</v>
      </c>
      <c r="E53" s="309">
        <f>'PASSIVO PATR'!E53-'PASSIVO PATR'!L53-'PASSIVO PATR'!O53-'PASSIVO PATR'!R53-'PASSIVO PATR'!U53-'PASSIVO PATR'!X53-'PASSIVO PATR'!AA53</f>
        <v>19180012.039999999</v>
      </c>
      <c r="F53" s="310">
        <f>'PASSIVO PATR'!F53-'PASSIVO PATR'!M53-'PASSIVO PATR'!N53</f>
        <v>0</v>
      </c>
      <c r="G53" s="310">
        <f>'PASSIVO PATR'!G53-'PASSIVO PATR'!P53-'PASSIVO PATR'!Q53</f>
        <v>0</v>
      </c>
      <c r="H53" s="310">
        <f>'PASSIVO PATR'!H53-'PASSIVO PATR'!S53-'PASSIVO PATR'!T53-'PASSIVO PATR'!AE53-'PASSIVO PATR'!AI53-'PASSIVO PATR'!AG53</f>
        <v>0</v>
      </c>
      <c r="I53" s="310">
        <f>'PASSIVO PATR'!I53-'PASSIVO PATR'!V53-'PASSIVO PATR'!W53-'PASSIVO PATR'!AH53</f>
        <v>2786.609999999404</v>
      </c>
      <c r="J53" s="310">
        <f>'PASSIVO PATR'!J53-'PASSIVO PATR'!Y53-'PASSIVO PATR'!Z53-'PASSIVO PATR'!AD53</f>
        <v>0</v>
      </c>
      <c r="K53" s="310">
        <f>'PASSIVO PATR'!K53-'PASSIVO PATR'!AB53-'PASSIVO PATR'!AC53-'PASSIVO PATR'!AF53</f>
        <v>0</v>
      </c>
      <c r="L53" s="311">
        <f t="shared" si="13"/>
        <v>19182798.649999999</v>
      </c>
    </row>
    <row r="54" spans="1:12" x14ac:dyDescent="0.2">
      <c r="A54" s="307"/>
      <c r="B54" s="285"/>
      <c r="C54" s="308" t="s">
        <v>30</v>
      </c>
      <c r="D54" s="285" t="s">
        <v>102</v>
      </c>
      <c r="E54" s="309">
        <f>'PASSIVO PATR'!E54-'PASSIVO PATR'!L54-'PASSIVO PATR'!O54-'PASSIVO PATR'!R54-'PASSIVO PATR'!U54-'PASSIVO PATR'!X54-'PASSIVO PATR'!AA54</f>
        <v>335000</v>
      </c>
      <c r="F54" s="310">
        <f>'PASSIVO PATR'!F54-'PASSIVO PATR'!M54-'PASSIVO PATR'!N54</f>
        <v>0</v>
      </c>
      <c r="G54" s="310">
        <f>'PASSIVO PATR'!G54-'PASSIVO PATR'!P54-'PASSIVO PATR'!Q54</f>
        <v>0</v>
      </c>
      <c r="H54" s="310">
        <f>'PASSIVO PATR'!H54-'PASSIVO PATR'!S54-'PASSIVO PATR'!T54-'PASSIVO PATR'!AE54-'PASSIVO PATR'!AI54-'PASSIVO PATR'!AG54</f>
        <v>0</v>
      </c>
      <c r="I54" s="310">
        <f>'PASSIVO PATR'!I54-'PASSIVO PATR'!V54-'PASSIVO PATR'!W54-'PASSIVO PATR'!AH54</f>
        <v>0</v>
      </c>
      <c r="J54" s="310">
        <f>'PASSIVO PATR'!J54-'PASSIVO PATR'!Y54-'PASSIVO PATR'!Z54-'PASSIVO PATR'!AD54</f>
        <v>0</v>
      </c>
      <c r="K54" s="310">
        <f>'PASSIVO PATR'!K54-'PASSIVO PATR'!AB54-'PASSIVO PATR'!AC54-'PASSIVO PATR'!AF54</f>
        <v>0</v>
      </c>
      <c r="L54" s="311">
        <f t="shared" si="13"/>
        <v>335000</v>
      </c>
    </row>
    <row r="55" spans="1:12" x14ac:dyDescent="0.2">
      <c r="A55" s="307"/>
      <c r="B55" s="285">
        <v>2</v>
      </c>
      <c r="C55" s="308"/>
      <c r="D55" s="285" t="s">
        <v>56</v>
      </c>
      <c r="E55" s="309">
        <f>'PASSIVO PATR'!E55-'PASSIVO PATR'!L55-'PASSIVO PATR'!O55-'PASSIVO PATR'!R55-'PASSIVO PATR'!U55-'PASSIVO PATR'!X55-'PASSIVO PATR'!AA55</f>
        <v>0</v>
      </c>
      <c r="F55" s="310">
        <f>'PASSIVO PATR'!F55-'PASSIVO PATR'!M55-'PASSIVO PATR'!N55</f>
        <v>0</v>
      </c>
      <c r="G55" s="310">
        <f>'PASSIVO PATR'!G55-'PASSIVO PATR'!P55-'PASSIVO PATR'!Q55</f>
        <v>0</v>
      </c>
      <c r="H55" s="310">
        <f>'PASSIVO PATR'!H55-'PASSIVO PATR'!S55-'PASSIVO PATR'!T55-'PASSIVO PATR'!AE55-'PASSIVO PATR'!AI55-'PASSIVO PATR'!AG55</f>
        <v>0</v>
      </c>
      <c r="I55" s="310">
        <f>'PASSIVO PATR'!I55-'PASSIVO PATR'!V55-'PASSIVO PATR'!W55-'PASSIVO PATR'!AH55</f>
        <v>0</v>
      </c>
      <c r="J55" s="310">
        <f>'PASSIVO PATR'!J55-'PASSIVO PATR'!Y55-'PASSIVO PATR'!Z55-'PASSIVO PATR'!AD55</f>
        <v>0</v>
      </c>
      <c r="K55" s="310">
        <f>'PASSIVO PATR'!K55-'PASSIVO PATR'!AB55-'PASSIVO PATR'!AC55-'PASSIVO PATR'!AF55</f>
        <v>0</v>
      </c>
      <c r="L55" s="311">
        <f t="shared" si="13"/>
        <v>0</v>
      </c>
    </row>
    <row r="56" spans="1:12" x14ac:dyDescent="0.2">
      <c r="A56" s="307"/>
      <c r="B56" s="285">
        <v>3</v>
      </c>
      <c r="C56" s="321"/>
      <c r="D56" s="285" t="s">
        <v>57</v>
      </c>
      <c r="E56" s="309">
        <f>'PASSIVO PATR'!E56-'PASSIVO PATR'!L56-'PASSIVO PATR'!O56-'PASSIVO PATR'!R56-'PASSIVO PATR'!U56-'PASSIVO PATR'!X56-'PASSIVO PATR'!AA56</f>
        <v>0</v>
      </c>
      <c r="F56" s="310">
        <f>'PASSIVO PATR'!F56-'PASSIVO PATR'!M56-'PASSIVO PATR'!N56</f>
        <v>0</v>
      </c>
      <c r="G56" s="310">
        <f>'PASSIVO PATR'!G56-'PASSIVO PATR'!P56-'PASSIVO PATR'!Q56</f>
        <v>107229.23999999464</v>
      </c>
      <c r="H56" s="310">
        <f>'PASSIVO PATR'!H56-'PASSIVO PATR'!S56-'PASSIVO PATR'!T56-'PASSIVO PATR'!AE56-'PASSIVO PATR'!AI56-'PASSIVO PATR'!AG56</f>
        <v>0</v>
      </c>
      <c r="I56" s="310">
        <f>'PASSIVO PATR'!I56-'PASSIVO PATR'!V56-'PASSIVO PATR'!W56-'PASSIVO PATR'!AH56</f>
        <v>0</v>
      </c>
      <c r="J56" s="310">
        <f>'PASSIVO PATR'!J56-'PASSIVO PATR'!Y56-'PASSIVO PATR'!Z56-'PASSIVO PATR'!AD56</f>
        <v>0</v>
      </c>
      <c r="K56" s="310">
        <f>'PASSIVO PATR'!K56-'PASSIVO PATR'!AB56-'PASSIVO PATR'!AC56-'PASSIVO PATR'!AF56</f>
        <v>0</v>
      </c>
      <c r="L56" s="311">
        <f t="shared" si="13"/>
        <v>107229.23999999464</v>
      </c>
    </row>
    <row r="57" spans="1:12" ht="13.5" thickBot="1" x14ac:dyDescent="0.25">
      <c r="A57" s="307"/>
      <c r="B57" s="285"/>
      <c r="C57" s="308"/>
      <c r="D57" s="316" t="s">
        <v>86</v>
      </c>
      <c r="E57" s="323">
        <f>E50+E51</f>
        <v>19569964.390000001</v>
      </c>
      <c r="F57" s="323">
        <f t="shared" ref="F57:H57" si="14">F50+F51</f>
        <v>0</v>
      </c>
      <c r="G57" s="323">
        <f t="shared" si="14"/>
        <v>107249.90999999463</v>
      </c>
      <c r="H57" s="323">
        <f t="shared" si="14"/>
        <v>447711.05000000075</v>
      </c>
      <c r="I57" s="323">
        <f t="shared" ref="I57:K57" si="15">I50+I51</f>
        <v>2786.609999999404</v>
      </c>
      <c r="J57" s="323">
        <f t="shared" si="15"/>
        <v>0.94999999999999929</v>
      </c>
      <c r="K57" s="323">
        <f t="shared" si="15"/>
        <v>0</v>
      </c>
      <c r="L57" s="324">
        <f>L50+L51</f>
        <v>20127712.909999993</v>
      </c>
    </row>
    <row r="58" spans="1:12" ht="15.75" thickBot="1" x14ac:dyDescent="0.25">
      <c r="A58" s="325"/>
      <c r="B58" s="326"/>
      <c r="C58" s="327"/>
      <c r="D58" s="328" t="s">
        <v>3</v>
      </c>
      <c r="E58" s="329">
        <f>E16+E24+E27+E47+E57</f>
        <v>80222280.975122496</v>
      </c>
      <c r="F58" s="329">
        <f t="shared" ref="F58:H58" si="16">F16+F24+F27+F47+F57</f>
        <v>0</v>
      </c>
      <c r="G58" s="329">
        <f t="shared" si="16"/>
        <v>732714.2561953502</v>
      </c>
      <c r="H58" s="329">
        <f t="shared" si="16"/>
        <v>14850336.250000002</v>
      </c>
      <c r="I58" s="330">
        <f t="shared" ref="I58:K58" si="17">I16+I24+I27+I47+I57</f>
        <v>3001.4542700327438</v>
      </c>
      <c r="J58" s="330">
        <f t="shared" si="17"/>
        <v>3963995.1825000015</v>
      </c>
      <c r="K58" s="330">
        <f t="shared" si="17"/>
        <v>0</v>
      </c>
      <c r="L58" s="331">
        <f>L16+L24+L27+L47+L57</f>
        <v>99772328.118087888</v>
      </c>
    </row>
    <row r="59" spans="1:12" ht="13.5" thickTop="1" x14ac:dyDescent="0.2">
      <c r="E59" s="332"/>
      <c r="F59" s="332"/>
      <c r="G59" s="332"/>
      <c r="H59" s="332"/>
      <c r="I59" s="332"/>
      <c r="J59" s="332"/>
      <c r="K59" s="332"/>
      <c r="L59" s="332">
        <f>'Dettaglio SP Attivo'!L92-'Dettaglio SP Passivo'!L58</f>
        <v>0</v>
      </c>
    </row>
  </sheetData>
  <mergeCells count="9">
    <mergeCell ref="L1:L2"/>
    <mergeCell ref="A1:D2"/>
    <mergeCell ref="E1:E2"/>
    <mergeCell ref="I1:I2"/>
    <mergeCell ref="J1:J2"/>
    <mergeCell ref="K1:K2"/>
    <mergeCell ref="F1:F2"/>
    <mergeCell ref="G1:G2"/>
    <mergeCell ref="H1:H2"/>
  </mergeCells>
  <pageMargins left="0.74803149606299213" right="0.74803149606299213" top="0.27559055118110237" bottom="0.23622047244094491" header="0.19685039370078741" footer="0.19685039370078741"/>
  <pageSetup paperSize="8" fitToHeight="10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showGridLines="0" topLeftCell="A31" zoomScaleNormal="100" workbookViewId="0">
      <selection activeCell="C33" sqref="C33:J34"/>
    </sheetView>
  </sheetViews>
  <sheetFormatPr defaultColWidth="9.140625" defaultRowHeight="12.75" x14ac:dyDescent="0.2"/>
  <cols>
    <col min="1" max="1" width="2.42578125" style="83" customWidth="1"/>
    <col min="2" max="2" width="59.5703125" style="3" customWidth="1"/>
    <col min="3" max="3" width="17.5703125" style="3" customWidth="1"/>
    <col min="4" max="4" width="17.5703125" style="4" hidden="1" customWidth="1"/>
    <col min="5" max="8" width="17.5703125" style="4" customWidth="1"/>
    <col min="9" max="9" width="17.5703125" style="4" hidden="1" customWidth="1"/>
    <col min="10" max="10" width="17.5703125" style="3" customWidth="1"/>
    <col min="11" max="16384" width="9.140625" style="3"/>
  </cols>
  <sheetData>
    <row r="1" spans="1:10" ht="13.5" customHeight="1" thickTop="1" x14ac:dyDescent="0.2">
      <c r="A1" s="584" t="s">
        <v>234</v>
      </c>
      <c r="B1" s="585"/>
      <c r="C1" s="572" t="s">
        <v>235</v>
      </c>
      <c r="D1" s="572"/>
      <c r="E1" s="572" t="s">
        <v>236</v>
      </c>
      <c r="F1" s="572" t="s">
        <v>237</v>
      </c>
      <c r="G1" s="572" t="s">
        <v>238</v>
      </c>
      <c r="H1" s="572" t="s">
        <v>239</v>
      </c>
      <c r="I1" s="572"/>
      <c r="J1" s="575" t="s">
        <v>218</v>
      </c>
    </row>
    <row r="2" spans="1:10" ht="13.5" thickBot="1" x14ac:dyDescent="0.25">
      <c r="A2" s="587"/>
      <c r="B2" s="588"/>
      <c r="C2" s="574"/>
      <c r="D2" s="574"/>
      <c r="E2" s="574"/>
      <c r="F2" s="574"/>
      <c r="G2" s="574"/>
      <c r="H2" s="573"/>
      <c r="I2" s="574"/>
      <c r="J2" s="576"/>
    </row>
    <row r="3" spans="1:10" ht="13.5" thickTop="1" x14ac:dyDescent="0.2">
      <c r="A3" s="282"/>
      <c r="B3" s="283" t="s">
        <v>50</v>
      </c>
      <c r="C3" s="421">
        <f>'Dettaglio CE'!D19</f>
        <v>11974897.380000001</v>
      </c>
      <c r="D3" s="16">
        <f>'Dettaglio CE'!E19</f>
        <v>0</v>
      </c>
      <c r="E3" s="16">
        <f>'Dettaglio CE'!F19</f>
        <v>299510.59940665308</v>
      </c>
      <c r="F3" s="16">
        <f>'Dettaglio CE'!G19</f>
        <v>1021640.0000000007</v>
      </c>
      <c r="G3" s="16">
        <f>'Dettaglio CE'!H19</f>
        <v>541.82427003695921</v>
      </c>
      <c r="H3" s="16">
        <f>'Dettaglio CE'!I19</f>
        <v>2422465.0224999986</v>
      </c>
      <c r="I3" s="16">
        <f>'Dettaglio CE'!J19</f>
        <v>0</v>
      </c>
      <c r="J3" s="260">
        <f>'Dettaglio CE'!K19</f>
        <v>15719054.82617669</v>
      </c>
    </row>
    <row r="4" spans="1:10" x14ac:dyDescent="0.2">
      <c r="A4" s="284"/>
      <c r="B4" s="285" t="s">
        <v>51</v>
      </c>
      <c r="C4" s="422">
        <f>'Dettaglio CE'!D39</f>
        <v>9679102.1961766724</v>
      </c>
      <c r="D4" s="437">
        <f>'Dettaglio CE'!E39</f>
        <v>0</v>
      </c>
      <c r="E4" s="437">
        <f>'Dettaglio CE'!F39</f>
        <v>289516.93000001542</v>
      </c>
      <c r="F4" s="437">
        <f>'Dettaglio CE'!G39</f>
        <v>981644.20000000077</v>
      </c>
      <c r="G4" s="437">
        <f>'Dettaglio CE'!H39</f>
        <v>510.8700000003455</v>
      </c>
      <c r="H4" s="437">
        <f>'Dettaglio CE'!I39</f>
        <v>2429490.7000000002</v>
      </c>
      <c r="I4" s="437">
        <f>'Dettaglio CE'!J39</f>
        <v>0</v>
      </c>
      <c r="J4" s="441">
        <f>'Dettaglio CE'!K39</f>
        <v>13380264.896176688</v>
      </c>
    </row>
    <row r="5" spans="1:10" ht="30" customHeight="1" x14ac:dyDescent="0.2">
      <c r="A5" s="284"/>
      <c r="B5" s="65" t="s">
        <v>222</v>
      </c>
      <c r="C5" s="423">
        <f>C3-C4</f>
        <v>2295795.1838233285</v>
      </c>
      <c r="D5" s="438">
        <f t="shared" ref="D5:E5" si="0">D3-D4</f>
        <v>0</v>
      </c>
      <c r="E5" s="438">
        <f t="shared" si="0"/>
        <v>9993.6694066376658</v>
      </c>
      <c r="F5" s="438">
        <f>F3-F4</f>
        <v>39995.79999999993</v>
      </c>
      <c r="G5" s="438">
        <f t="shared" ref="G5:J5" si="1">G3-G4</f>
        <v>30.954270036613707</v>
      </c>
      <c r="H5" s="438">
        <f t="shared" si="1"/>
        <v>-7025.6775000016205</v>
      </c>
      <c r="I5" s="438">
        <f t="shared" si="1"/>
        <v>0</v>
      </c>
      <c r="J5" s="442">
        <f t="shared" si="1"/>
        <v>2338789.9300000016</v>
      </c>
    </row>
    <row r="6" spans="1:10" x14ac:dyDescent="0.2">
      <c r="A6" s="284"/>
      <c r="B6" s="285" t="s">
        <v>10</v>
      </c>
      <c r="C6" s="424">
        <f>'Dettaglio CE'!D55</f>
        <v>852.54</v>
      </c>
      <c r="D6" s="439">
        <f>'Dettaglio CE'!E55</f>
        <v>0</v>
      </c>
      <c r="E6" s="439">
        <f>'Dettaglio CE'!F55</f>
        <v>1154.5499999998137</v>
      </c>
      <c r="F6" s="439">
        <f>'Dettaglio CE'!G55</f>
        <v>17201.700000000012</v>
      </c>
      <c r="G6" s="439">
        <f>'Dettaglio CE'!H55</f>
        <v>0</v>
      </c>
      <c r="H6" s="439">
        <f>'Dettaglio CE'!I55</f>
        <v>388.20000000000016</v>
      </c>
      <c r="I6" s="439">
        <f>'Dettaglio CE'!J55</f>
        <v>0</v>
      </c>
      <c r="J6" s="260">
        <f>'Dettaglio CE'!K55</f>
        <v>19596.989999999827</v>
      </c>
    </row>
    <row r="7" spans="1:10" x14ac:dyDescent="0.2">
      <c r="A7" s="284"/>
      <c r="B7" s="280" t="s">
        <v>15</v>
      </c>
      <c r="C7" s="424">
        <f>'Dettaglio CE'!D59</f>
        <v>0</v>
      </c>
      <c r="D7" s="16">
        <f>'Dettaglio CE'!E59</f>
        <v>0</v>
      </c>
      <c r="E7" s="16">
        <f>'Dettaglio CE'!F59</f>
        <v>87.630000000004657</v>
      </c>
      <c r="F7" s="16">
        <f>'Dettaglio CE'!G59</f>
        <v>-17347.950000000023</v>
      </c>
      <c r="G7" s="16">
        <f>'Dettaglio CE'!H59</f>
        <v>0</v>
      </c>
      <c r="H7" s="16">
        <f>'Dettaglio CE'!I59</f>
        <v>0</v>
      </c>
      <c r="I7" s="16">
        <f>'Dettaglio CE'!J59</f>
        <v>0</v>
      </c>
      <c r="J7" s="260">
        <f>'Dettaglio CE'!K59</f>
        <v>-17260.320000000018</v>
      </c>
    </row>
    <row r="8" spans="1:10" x14ac:dyDescent="0.2">
      <c r="A8" s="284"/>
      <c r="B8" s="285" t="s">
        <v>166</v>
      </c>
      <c r="C8" s="424">
        <f>'Dettaglio CE'!D74</f>
        <v>4128443.4499999997</v>
      </c>
      <c r="D8" s="437">
        <f>'Dettaglio CE'!E74</f>
        <v>0</v>
      </c>
      <c r="E8" s="437">
        <f>'Dettaglio CE'!F74</f>
        <v>0</v>
      </c>
      <c r="F8" s="437">
        <f>'Dettaglio CE'!G74</f>
        <v>0</v>
      </c>
      <c r="G8" s="437">
        <f>'Dettaglio CE'!H74</f>
        <v>9.3399999999883221</v>
      </c>
      <c r="H8" s="437">
        <f>'Dettaglio CE'!I74</f>
        <v>0</v>
      </c>
      <c r="I8" s="437">
        <f>'Dettaglio CE'!J74</f>
        <v>0</v>
      </c>
      <c r="J8" s="260">
        <f>'Dettaglio CE'!K74</f>
        <v>4128452.7899999996</v>
      </c>
    </row>
    <row r="9" spans="1:10" ht="30" customHeight="1" x14ac:dyDescent="0.2">
      <c r="A9" s="284"/>
      <c r="B9" s="65" t="s">
        <v>191</v>
      </c>
      <c r="C9" s="423">
        <f>C5+C6+C7+C8</f>
        <v>6425091.1738233287</v>
      </c>
      <c r="D9" s="438">
        <f t="shared" ref="D9:F9" si="2">D5+D6+D7+D8</f>
        <v>0</v>
      </c>
      <c r="E9" s="438">
        <f t="shared" si="2"/>
        <v>11235.849406637484</v>
      </c>
      <c r="F9" s="438">
        <f t="shared" si="2"/>
        <v>39849.549999999916</v>
      </c>
      <c r="G9" s="438">
        <f t="shared" ref="G9:J9" si="3">G5+G6+G7+G8</f>
        <v>40.294270036602029</v>
      </c>
      <c r="H9" s="438">
        <f t="shared" si="3"/>
        <v>-6637.4775000016207</v>
      </c>
      <c r="I9" s="438">
        <f t="shared" si="3"/>
        <v>0</v>
      </c>
      <c r="J9" s="442">
        <f t="shared" si="3"/>
        <v>6469579.3900000006</v>
      </c>
    </row>
    <row r="10" spans="1:10" ht="13.5" thickBot="1" x14ac:dyDescent="0.25">
      <c r="A10" s="284"/>
      <c r="B10" s="280" t="s">
        <v>151</v>
      </c>
      <c r="C10" s="436">
        <f>'Dettaglio CE'!D76</f>
        <v>103018.97</v>
      </c>
      <c r="D10" s="440">
        <f>'Dettaglio CE'!E76</f>
        <v>0</v>
      </c>
      <c r="E10" s="440">
        <f>'Dettaglio CE'!F76</f>
        <v>6321.7000000001863</v>
      </c>
      <c r="F10" s="440">
        <f>'Dettaglio CE'!G76</f>
        <v>4573.5500000000029</v>
      </c>
      <c r="G10" s="440">
        <f>'Dettaglio CE'!H76</f>
        <v>1.4099999999962165</v>
      </c>
      <c r="H10" s="440">
        <f>'Dettaglio CE'!I76</f>
        <v>6923.8500000000058</v>
      </c>
      <c r="I10" s="440">
        <f>'Dettaglio CE'!J76</f>
        <v>0</v>
      </c>
      <c r="J10" s="258">
        <f>'Dettaglio CE'!K76</f>
        <v>120839.48000000019</v>
      </c>
    </row>
    <row r="11" spans="1:10" ht="30" customHeight="1" thickBot="1" x14ac:dyDescent="0.25">
      <c r="A11" s="284"/>
      <c r="B11" s="65" t="s">
        <v>231</v>
      </c>
      <c r="C11" s="425">
        <f>'Dettaglio CE'!D77</f>
        <v>6322072.2038233289</v>
      </c>
      <c r="D11" s="446">
        <f>'Dettaglio CE'!E77</f>
        <v>0</v>
      </c>
      <c r="E11" s="446">
        <f>'Dettaglio CE'!F77</f>
        <v>4914.1494066372979</v>
      </c>
      <c r="F11" s="446">
        <f>'Dettaglio CE'!G77</f>
        <v>35275.999999999913</v>
      </c>
      <c r="G11" s="446">
        <f>'Dettaglio CE'!H77</f>
        <v>38.884270036605812</v>
      </c>
      <c r="H11" s="446">
        <f>'Dettaglio CE'!I77</f>
        <v>-13561.327500001626</v>
      </c>
      <c r="I11" s="281">
        <f>'Dettaglio CE'!J77</f>
        <v>0</v>
      </c>
      <c r="J11" s="443">
        <f>'Dettaglio CE'!K77</f>
        <v>6348739.9100000001</v>
      </c>
    </row>
    <row r="12" spans="1:10" ht="13.5" thickBot="1" x14ac:dyDescent="0.25">
      <c r="A12" s="286"/>
      <c r="B12" s="300" t="s">
        <v>210</v>
      </c>
      <c r="C12" s="426">
        <f>'Dettaglio CE'!D78</f>
        <v>0</v>
      </c>
      <c r="D12" s="445">
        <f>'Dettaglio CE'!E78</f>
        <v>0</v>
      </c>
      <c r="E12" s="445">
        <f>'Dettaglio CE'!F78</f>
        <v>0</v>
      </c>
      <c r="F12" s="445">
        <f>'Dettaglio CE'!G78</f>
        <v>0</v>
      </c>
      <c r="G12" s="445">
        <f>'Dettaglio CE'!H78</f>
        <v>0</v>
      </c>
      <c r="H12" s="445">
        <f>'Dettaglio CE'!I78</f>
        <v>0</v>
      </c>
      <c r="I12" s="445">
        <f>'Dettaglio CE'!J78</f>
        <v>0</v>
      </c>
      <c r="J12" s="444">
        <f>'Dettaglio CE'!K78</f>
        <v>0</v>
      </c>
    </row>
    <row r="13" spans="1:10" ht="17.25" customHeight="1" thickTop="1" x14ac:dyDescent="0.2">
      <c r="A13" s="287"/>
      <c r="B13" s="288"/>
    </row>
    <row r="14" spans="1:10" ht="14.1" customHeight="1" thickBot="1" x14ac:dyDescent="0.25">
      <c r="A14" s="287"/>
      <c r="B14" s="288"/>
      <c r="D14" s="448"/>
      <c r="E14" s="448"/>
      <c r="F14" s="448"/>
      <c r="G14" s="448"/>
      <c r="H14" s="448"/>
      <c r="I14" s="448"/>
    </row>
    <row r="15" spans="1:10" ht="14.45" customHeight="1" thickTop="1" x14ac:dyDescent="0.2">
      <c r="A15" s="584" t="s">
        <v>232</v>
      </c>
      <c r="B15" s="585"/>
      <c r="C15" s="572" t="s">
        <v>235</v>
      </c>
      <c r="D15" s="572"/>
      <c r="E15" s="572" t="s">
        <v>236</v>
      </c>
      <c r="F15" s="572" t="s">
        <v>237</v>
      </c>
      <c r="G15" s="572" t="s">
        <v>238</v>
      </c>
      <c r="H15" s="572" t="s">
        <v>239</v>
      </c>
      <c r="I15" s="572"/>
      <c r="J15" s="575" t="s">
        <v>218</v>
      </c>
    </row>
    <row r="16" spans="1:10" ht="13.5" thickBot="1" x14ac:dyDescent="0.25">
      <c r="A16" s="587"/>
      <c r="B16" s="588"/>
      <c r="C16" s="574"/>
      <c r="D16" s="574"/>
      <c r="E16" s="574"/>
      <c r="F16" s="574"/>
      <c r="G16" s="574"/>
      <c r="H16" s="573"/>
      <c r="I16" s="574"/>
      <c r="J16" s="576"/>
    </row>
    <row r="17" spans="1:10" ht="26.25" thickTop="1" x14ac:dyDescent="0.2">
      <c r="A17" s="282"/>
      <c r="B17" s="290" t="s">
        <v>227</v>
      </c>
      <c r="C17" s="427">
        <f>'Dettaglio SP Attivo'!E4</f>
        <v>0</v>
      </c>
      <c r="D17" s="293">
        <f>'Dettaglio SP Attivo'!F4</f>
        <v>0</v>
      </c>
      <c r="E17" s="293">
        <f>'Dettaglio SP Attivo'!G4</f>
        <v>0</v>
      </c>
      <c r="F17" s="293">
        <f>'Dettaglio SP Attivo'!H4</f>
        <v>79.150000000000091</v>
      </c>
      <c r="G17" s="293">
        <f>'Dettaglio SP Attivo'!I4</f>
        <v>0</v>
      </c>
      <c r="H17" s="293">
        <f>'Dettaglio SP Attivo'!J4</f>
        <v>0</v>
      </c>
      <c r="I17" s="293">
        <f>'Dettaglio SP Attivo'!K4</f>
        <v>0</v>
      </c>
      <c r="J17" s="455">
        <f>'Dettaglio SP Attivo'!L4</f>
        <v>79.150000000000091</v>
      </c>
    </row>
    <row r="18" spans="1:10" x14ac:dyDescent="0.2">
      <c r="A18" s="284"/>
      <c r="B18" s="289" t="s">
        <v>175</v>
      </c>
      <c r="C18" s="431"/>
      <c r="D18" s="292"/>
      <c r="E18" s="292"/>
      <c r="F18" s="292"/>
      <c r="G18" s="292"/>
      <c r="H18" s="292"/>
      <c r="I18" s="292"/>
      <c r="J18" s="456"/>
    </row>
    <row r="19" spans="1:10" x14ac:dyDescent="0.2">
      <c r="A19" s="284"/>
      <c r="B19" s="280" t="s">
        <v>223</v>
      </c>
      <c r="C19" s="428">
        <f>'Dettaglio SP Attivo'!E14</f>
        <v>314876.09427520714</v>
      </c>
      <c r="D19" s="292">
        <f>'Dettaglio SP Attivo'!F14</f>
        <v>0</v>
      </c>
      <c r="E19" s="292">
        <f>'Dettaglio SP Attivo'!G14</f>
        <v>243923.19000001252</v>
      </c>
      <c r="F19" s="292">
        <f>'Dettaglio SP Attivo'!H14</f>
        <v>12944.400000000012</v>
      </c>
      <c r="G19" s="292">
        <f>'Dettaglio SP Attivo'!I14</f>
        <v>9.0000000000145519E-2</v>
      </c>
      <c r="H19" s="292">
        <f>'Dettaglio SP Attivo'!J14</f>
        <v>46916.60000000002</v>
      </c>
      <c r="I19" s="292">
        <f>'Dettaglio SP Attivo'!K14</f>
        <v>0</v>
      </c>
      <c r="J19" s="457">
        <f>'Dettaglio SP Attivo'!L14</f>
        <v>618660.37427521974</v>
      </c>
    </row>
    <row r="20" spans="1:10" x14ac:dyDescent="0.2">
      <c r="A20" s="284"/>
      <c r="B20" s="280" t="s">
        <v>224</v>
      </c>
      <c r="C20" s="428">
        <f>'Dettaglio SP Attivo'!E36</f>
        <v>37974623.390000001</v>
      </c>
      <c r="D20" s="292">
        <f>'Dettaglio SP Attivo'!F36</f>
        <v>0</v>
      </c>
      <c r="E20" s="292">
        <f>'Dettaglio SP Attivo'!G36</f>
        <v>34265.739999994636</v>
      </c>
      <c r="F20" s="292">
        <f>'Dettaglio SP Attivo'!H36</f>
        <v>8959984.2500000075</v>
      </c>
      <c r="G20" s="292">
        <f>'Dettaglio SP Attivo'!I36</f>
        <v>153.17000000003645</v>
      </c>
      <c r="H20" s="292">
        <f>'Dettaglio SP Attivo'!J36</f>
        <v>33452.650000000023</v>
      </c>
      <c r="I20" s="292">
        <f>'Dettaglio SP Attivo'!K36</f>
        <v>0</v>
      </c>
      <c r="J20" s="457">
        <f>'Dettaglio SP Attivo'!L36</f>
        <v>47002479.200000003</v>
      </c>
    </row>
    <row r="21" spans="1:10" x14ac:dyDescent="0.2">
      <c r="A21" s="284"/>
      <c r="B21" s="40" t="s">
        <v>225</v>
      </c>
      <c r="C21" s="429">
        <f>'Dettaglio SP Attivo'!E49</f>
        <v>-9.9999998492421582E-3</v>
      </c>
      <c r="D21" s="293">
        <f>'Dettaglio SP Attivo'!F49</f>
        <v>0</v>
      </c>
      <c r="E21" s="293">
        <f>'Dettaglio SP Attivo'!G49</f>
        <v>0</v>
      </c>
      <c r="F21" s="293">
        <f>'Dettaglio SP Attivo'!H49</f>
        <v>708968.55000000028</v>
      </c>
      <c r="G21" s="293">
        <f>'Dettaglio SP Attivo'!I49</f>
        <v>0</v>
      </c>
      <c r="H21" s="293">
        <f>'Dettaglio SP Attivo'!J49</f>
        <v>200</v>
      </c>
      <c r="I21" s="293">
        <f>'Dettaglio SP Attivo'!K49</f>
        <v>0</v>
      </c>
      <c r="J21" s="458">
        <f>'Dettaglio SP Attivo'!L49</f>
        <v>709168.54000000039</v>
      </c>
    </row>
    <row r="22" spans="1:10" x14ac:dyDescent="0.2">
      <c r="A22" s="284"/>
      <c r="B22" s="289" t="s">
        <v>69</v>
      </c>
      <c r="C22" s="430">
        <f>'Dettaglio SP Attivo'!E50</f>
        <v>38289499.474275209</v>
      </c>
      <c r="D22" s="294">
        <f>'Dettaglio SP Attivo'!F50</f>
        <v>0</v>
      </c>
      <c r="E22" s="294">
        <f>'Dettaglio SP Attivo'!G50</f>
        <v>278188.93000000715</v>
      </c>
      <c r="F22" s="294">
        <f>'Dettaglio SP Attivo'!H50</f>
        <v>9681897.2000000086</v>
      </c>
      <c r="G22" s="294">
        <f>'Dettaglio SP Attivo'!I50</f>
        <v>153.2600000000366</v>
      </c>
      <c r="H22" s="294">
        <f>'Dettaglio SP Attivo'!J50</f>
        <v>80569.250000000044</v>
      </c>
      <c r="I22" s="294">
        <f>'Dettaglio SP Attivo'!K50</f>
        <v>0</v>
      </c>
      <c r="J22" s="459">
        <f>'Dettaglio SP Attivo'!L50</f>
        <v>48330308.114275225</v>
      </c>
    </row>
    <row r="23" spans="1:10" x14ac:dyDescent="0.2">
      <c r="A23" s="284"/>
      <c r="B23" s="289" t="s">
        <v>180</v>
      </c>
      <c r="C23" s="431"/>
      <c r="D23" s="292"/>
      <c r="E23" s="292"/>
      <c r="F23" s="292"/>
      <c r="G23" s="292"/>
      <c r="H23" s="292"/>
      <c r="I23" s="292"/>
      <c r="J23" s="456"/>
    </row>
    <row r="24" spans="1:10" x14ac:dyDescent="0.2">
      <c r="A24" s="284"/>
      <c r="B24" s="285" t="s">
        <v>59</v>
      </c>
      <c r="C24" s="428">
        <f>'Dettaglio SP Attivo'!E54</f>
        <v>0</v>
      </c>
      <c r="D24" s="292">
        <f>'Dettaglio SP Attivo'!F54</f>
        <v>0</v>
      </c>
      <c r="E24" s="292">
        <f>'Dettaglio SP Attivo'!G54</f>
        <v>129.72000000000116</v>
      </c>
      <c r="F24" s="292">
        <f>'Dettaglio SP Attivo'!H54</f>
        <v>847551</v>
      </c>
      <c r="G24" s="292">
        <f>'Dettaglio SP Attivo'!I54</f>
        <v>0.21000000000003638</v>
      </c>
      <c r="H24" s="292">
        <f>'Dettaglio SP Attivo'!J54</f>
        <v>203578.35000000009</v>
      </c>
      <c r="I24" s="292">
        <f>'Dettaglio SP Attivo'!K54</f>
        <v>0</v>
      </c>
      <c r="J24" s="457">
        <f>'Dettaglio SP Attivo'!L54</f>
        <v>1051259.28</v>
      </c>
    </row>
    <row r="25" spans="1:10" x14ac:dyDescent="0.2">
      <c r="A25" s="284"/>
      <c r="B25" s="285" t="s">
        <v>226</v>
      </c>
      <c r="C25" s="428">
        <f>'Dettaglio SP Attivo'!E70</f>
        <v>3553933.42</v>
      </c>
      <c r="D25" s="292">
        <f>'Dettaglio SP Attivo'!F70</f>
        <v>0</v>
      </c>
      <c r="E25" s="292">
        <f>'Dettaglio SP Attivo'!G70</f>
        <v>691051.10731268674</v>
      </c>
      <c r="F25" s="292">
        <f>'Dettaglio SP Attivo'!H70</f>
        <v>3395918.9500000016</v>
      </c>
      <c r="G25" s="292">
        <f>'Dettaglio SP Attivo'!I70</f>
        <v>1546.0600000011909</v>
      </c>
      <c r="H25" s="292">
        <f>'Dettaglio SP Attivo'!J70</f>
        <v>3356171.1565000005</v>
      </c>
      <c r="I25" s="292">
        <f>'Dettaglio SP Attivo'!K70</f>
        <v>0</v>
      </c>
      <c r="J25" s="457">
        <f>'Dettaglio SP Attivo'!L70</f>
        <v>10998620.693812689</v>
      </c>
    </row>
    <row r="26" spans="1:10" x14ac:dyDescent="0.2">
      <c r="A26" s="284"/>
      <c r="B26" s="285" t="s">
        <v>228</v>
      </c>
      <c r="C26" s="428">
        <f>'Dettaglio SP Attivo'!E75</f>
        <v>0</v>
      </c>
      <c r="D26" s="292">
        <f>'Dettaglio SP Attivo'!F75</f>
        <v>0</v>
      </c>
      <c r="E26" s="292">
        <f>'Dettaglio SP Attivo'!G75</f>
        <v>0</v>
      </c>
      <c r="F26" s="292">
        <f>'Dettaglio SP Attivo'!H75</f>
        <v>0</v>
      </c>
      <c r="G26" s="292">
        <f>'Dettaglio SP Attivo'!I75</f>
        <v>0</v>
      </c>
      <c r="H26" s="292">
        <f>'Dettaglio SP Attivo'!J75</f>
        <v>0</v>
      </c>
      <c r="I26" s="292">
        <f>'Dettaglio SP Attivo'!K75</f>
        <v>0</v>
      </c>
      <c r="J26" s="457">
        <f>'Dettaglio SP Attivo'!L75</f>
        <v>0</v>
      </c>
    </row>
    <row r="27" spans="1:10" x14ac:dyDescent="0.2">
      <c r="A27" s="284"/>
      <c r="B27" s="285" t="s">
        <v>229</v>
      </c>
      <c r="C27" s="429">
        <f>'Dettaglio SP Attivo'!E84</f>
        <v>35409771.079999998</v>
      </c>
      <c r="D27" s="293">
        <f>'Dettaglio SP Attivo'!F84</f>
        <v>0</v>
      </c>
      <c r="E27" s="293">
        <f>'Dettaglio SP Attivo'!G84</f>
        <v>107878.71999999702</v>
      </c>
      <c r="F27" s="293">
        <f>'Dettaglio SP Attivo'!H84</f>
        <v>3478853.1000000029</v>
      </c>
      <c r="G27" s="293">
        <f>'Dettaglio SP Attivo'!I84</f>
        <v>1704.2099999988075</v>
      </c>
      <c r="H27" s="293">
        <f>'Dettaglio SP Attivo'!J84</f>
        <v>357028.75000000017</v>
      </c>
      <c r="I27" s="293">
        <f>'Dettaglio SP Attivo'!K84</f>
        <v>0</v>
      </c>
      <c r="J27" s="458">
        <f>'Dettaglio SP Attivo'!L84</f>
        <v>39355235.859999999</v>
      </c>
    </row>
    <row r="28" spans="1:10" x14ac:dyDescent="0.2">
      <c r="A28" s="284"/>
      <c r="B28" s="289" t="s">
        <v>76</v>
      </c>
      <c r="C28" s="430">
        <f>'Dettaglio SP Attivo'!E85</f>
        <v>38963704.5</v>
      </c>
      <c r="D28" s="294">
        <f>'Dettaglio SP Attivo'!F85</f>
        <v>0</v>
      </c>
      <c r="E28" s="294">
        <f>'Dettaglio SP Attivo'!G85</f>
        <v>799059.54731268378</v>
      </c>
      <c r="F28" s="294">
        <f>'Dettaglio SP Attivo'!H85</f>
        <v>7722323.0500000045</v>
      </c>
      <c r="G28" s="294">
        <f>'Dettaglio SP Attivo'!I85</f>
        <v>3250.4799999999987</v>
      </c>
      <c r="H28" s="294">
        <f>'Dettaglio SP Attivo'!J85</f>
        <v>3916778.2565000006</v>
      </c>
      <c r="I28" s="294">
        <f>'Dettaglio SP Attivo'!K85</f>
        <v>0</v>
      </c>
      <c r="J28" s="459">
        <f>'Dettaglio SP Attivo'!L85</f>
        <v>51405115.833812684</v>
      </c>
    </row>
    <row r="29" spans="1:10" ht="13.5" thickBot="1" x14ac:dyDescent="0.25">
      <c r="A29" s="284"/>
      <c r="B29" s="289" t="s">
        <v>46</v>
      </c>
      <c r="C29" s="431">
        <f>'Dettaglio SP Attivo'!E90</f>
        <v>0</v>
      </c>
      <c r="D29" s="454">
        <f>'Dettaglio SP Attivo'!F90</f>
        <v>0</v>
      </c>
      <c r="E29" s="454">
        <f>'Dettaglio SP Attivo'!G90</f>
        <v>438.65000000002328</v>
      </c>
      <c r="F29" s="454">
        <f>'Dettaglio SP Attivo'!H90</f>
        <v>2466.5500000000029</v>
      </c>
      <c r="G29" s="454">
        <f>'Dettaglio SP Attivo'!I90</f>
        <v>0.17000000000007276</v>
      </c>
      <c r="H29" s="454">
        <f>'Dettaglio SP Attivo'!J90</f>
        <v>33919.650000000023</v>
      </c>
      <c r="I29" s="454">
        <f>'Dettaglio SP Attivo'!K90</f>
        <v>0</v>
      </c>
      <c r="J29" s="456">
        <f>'Dettaglio SP Attivo'!L90</f>
        <v>36825.020000000048</v>
      </c>
    </row>
    <row r="30" spans="1:10" ht="15.75" thickBot="1" x14ac:dyDescent="0.25">
      <c r="A30" s="286"/>
      <c r="B30" s="295" t="s">
        <v>28</v>
      </c>
      <c r="C30" s="432">
        <f>'Dettaglio SP Attivo'!E92</f>
        <v>77253203.974275202</v>
      </c>
      <c r="D30" s="453">
        <f>'Dettaglio SP Attivo'!F92</f>
        <v>0</v>
      </c>
      <c r="E30" s="453">
        <f>'Dettaglio SP Attivo'!G92</f>
        <v>1077687.127312691</v>
      </c>
      <c r="F30" s="453">
        <f>'Dettaglio SP Attivo'!H92</f>
        <v>17406765.950000014</v>
      </c>
      <c r="G30" s="453">
        <f>'Dettaglio SP Attivo'!I92</f>
        <v>3403.9100000000353</v>
      </c>
      <c r="H30" s="453">
        <f>'Dettaglio SP Attivo'!J92</f>
        <v>4031267.1565000005</v>
      </c>
      <c r="I30" s="453">
        <f>'Dettaglio SP Attivo'!K92</f>
        <v>0</v>
      </c>
      <c r="J30" s="460">
        <f>'Dettaglio SP Attivo'!L92</f>
        <v>99772328.118087903</v>
      </c>
    </row>
    <row r="31" spans="1:10" ht="13.5" thickTop="1" x14ac:dyDescent="0.2">
      <c r="A31" s="287"/>
      <c r="B31" s="288"/>
    </row>
    <row r="32" spans="1:10" ht="13.5" thickBot="1" x14ac:dyDescent="0.25">
      <c r="A32" s="287"/>
      <c r="B32" s="288"/>
      <c r="D32" s="448"/>
      <c r="E32" s="448"/>
      <c r="F32" s="448"/>
      <c r="G32" s="448"/>
      <c r="H32" s="448"/>
      <c r="I32" s="448"/>
    </row>
    <row r="33" spans="1:10" ht="14.45" customHeight="1" thickTop="1" x14ac:dyDescent="0.2">
      <c r="A33" s="584" t="s">
        <v>233</v>
      </c>
      <c r="B33" s="585"/>
      <c r="C33" s="572" t="s">
        <v>235</v>
      </c>
      <c r="D33" s="572"/>
      <c r="E33" s="572" t="s">
        <v>236</v>
      </c>
      <c r="F33" s="572" t="s">
        <v>237</v>
      </c>
      <c r="G33" s="572" t="s">
        <v>238</v>
      </c>
      <c r="H33" s="572" t="s">
        <v>239</v>
      </c>
      <c r="I33" s="572"/>
      <c r="J33" s="575" t="s">
        <v>218</v>
      </c>
    </row>
    <row r="34" spans="1:10" ht="13.5" thickBot="1" x14ac:dyDescent="0.25">
      <c r="A34" s="587"/>
      <c r="B34" s="588"/>
      <c r="C34" s="574"/>
      <c r="D34" s="574"/>
      <c r="E34" s="574"/>
      <c r="F34" s="574"/>
      <c r="G34" s="574"/>
      <c r="H34" s="573"/>
      <c r="I34" s="574"/>
      <c r="J34" s="576"/>
    </row>
    <row r="35" spans="1:10" ht="13.5" thickTop="1" x14ac:dyDescent="0.2">
      <c r="A35" s="282"/>
      <c r="B35" s="283" t="s">
        <v>2</v>
      </c>
      <c r="C35" s="433">
        <f>'Dettaglio SP Passivo'!E16</f>
        <v>55711452.597034544</v>
      </c>
      <c r="D35" s="9">
        <f>'Dettaglio SP Passivo'!F16</f>
        <v>0</v>
      </c>
      <c r="E35" s="9">
        <f>'Dettaglio SP Passivo'!G16</f>
        <v>4914.149406590499</v>
      </c>
      <c r="F35" s="9">
        <f>'Dettaglio SP Passivo'!H16</f>
        <v>35276.000000003725</v>
      </c>
      <c r="G35" s="9">
        <f>'Dettaglio SP Passivo'!I16</f>
        <v>38.884270033449866</v>
      </c>
      <c r="H35" s="9">
        <f>'Dettaglio SP Passivo'!J16</f>
        <v>-13561.327499999996</v>
      </c>
      <c r="I35" s="9">
        <f>'Dettaglio SP Passivo'!K16</f>
        <v>0</v>
      </c>
      <c r="J35" s="461">
        <f>'Dettaglio SP Passivo'!L16</f>
        <v>55738120.303211175</v>
      </c>
    </row>
    <row r="36" spans="1:10" x14ac:dyDescent="0.2">
      <c r="A36" s="284"/>
      <c r="B36" s="299" t="s">
        <v>171</v>
      </c>
      <c r="C36" s="434">
        <f>'Dettaglio SP Passivo'!E15</f>
        <v>0</v>
      </c>
      <c r="D36" s="447">
        <f>'Dettaglio SP Passivo'!F15</f>
        <v>0</v>
      </c>
      <c r="E36" s="447">
        <f>'Dettaglio SP Passivo'!G15</f>
        <v>0</v>
      </c>
      <c r="F36" s="447">
        <f>'Dettaglio SP Passivo'!H15</f>
        <v>0</v>
      </c>
      <c r="G36" s="447">
        <f>'Dettaglio SP Passivo'!I15</f>
        <v>0</v>
      </c>
      <c r="H36" s="447">
        <f>'Dettaglio SP Passivo'!J15</f>
        <v>0</v>
      </c>
      <c r="I36" s="447">
        <f>'Dettaglio SP Passivo'!K15</f>
        <v>0</v>
      </c>
      <c r="J36" s="462">
        <f>'Dettaglio SP Passivo'!L15</f>
        <v>0</v>
      </c>
    </row>
    <row r="37" spans="1:10" x14ac:dyDescent="0.2">
      <c r="A37" s="284"/>
      <c r="B37" s="285" t="s">
        <v>43</v>
      </c>
      <c r="C37" s="435">
        <f>'Dettaglio SP Passivo'!E24</f>
        <v>312804.96000000002</v>
      </c>
      <c r="D37" s="9">
        <f>'Dettaglio SP Passivo'!F24</f>
        <v>0</v>
      </c>
      <c r="E37" s="9">
        <f>'Dettaglio SP Passivo'!G24</f>
        <v>107116.14999999403</v>
      </c>
      <c r="F37" s="9">
        <f>'Dettaglio SP Passivo'!H24</f>
        <v>916680.75</v>
      </c>
      <c r="G37" s="9">
        <f>'Dettaglio SP Passivo'!I24</f>
        <v>0</v>
      </c>
      <c r="H37" s="9">
        <f>'Dettaglio SP Passivo'!J24</f>
        <v>413180.30000000016</v>
      </c>
      <c r="I37" s="9">
        <f>'Dettaglio SP Passivo'!K24</f>
        <v>0</v>
      </c>
      <c r="J37" s="463">
        <f>'Dettaglio SP Passivo'!L24</f>
        <v>1749782.1599999941</v>
      </c>
    </row>
    <row r="38" spans="1:10" x14ac:dyDescent="0.2">
      <c r="A38" s="284"/>
      <c r="B38" s="285" t="s">
        <v>82</v>
      </c>
      <c r="C38" s="435">
        <f>'Dettaglio SP Passivo'!E27</f>
        <v>0</v>
      </c>
      <c r="D38" s="9">
        <f>'Dettaglio SP Passivo'!F27</f>
        <v>0</v>
      </c>
      <c r="E38" s="9">
        <f>'Dettaglio SP Passivo'!G27</f>
        <v>1910.1799999999348</v>
      </c>
      <c r="F38" s="9">
        <f>'Dettaglio SP Passivo'!H27</f>
        <v>101325.64999999991</v>
      </c>
      <c r="G38" s="9">
        <f>'Dettaglio SP Passivo'!I27</f>
        <v>0</v>
      </c>
      <c r="H38" s="9">
        <f>'Dettaglio SP Passivo'!J27</f>
        <v>165674.95000000019</v>
      </c>
      <c r="I38" s="9">
        <f>'Dettaglio SP Passivo'!K27</f>
        <v>0</v>
      </c>
      <c r="J38" s="463">
        <f>'Dettaglio SP Passivo'!L27</f>
        <v>268910.78000000003</v>
      </c>
    </row>
    <row r="39" spans="1:10" x14ac:dyDescent="0.2">
      <c r="A39" s="284"/>
      <c r="B39" s="285" t="s">
        <v>230</v>
      </c>
      <c r="C39" s="435">
        <f>'Dettaglio SP Passivo'!E47</f>
        <v>4628059.0280879503</v>
      </c>
      <c r="D39" s="9">
        <f>'Dettaglio SP Passivo'!F47</f>
        <v>0</v>
      </c>
      <c r="E39" s="9">
        <f>'Dettaglio SP Passivo'!G47</f>
        <v>511523.866788771</v>
      </c>
      <c r="F39" s="9">
        <f>'Dettaglio SP Passivo'!H47</f>
        <v>13349342.799999997</v>
      </c>
      <c r="G39" s="9">
        <f>'Dettaglio SP Passivo'!I47</f>
        <v>175.95999999988999</v>
      </c>
      <c r="H39" s="9">
        <f>'Dettaglio SP Passivo'!J47</f>
        <v>3398700.310000001</v>
      </c>
      <c r="I39" s="9">
        <f>'Dettaglio SP Passivo'!K47</f>
        <v>0</v>
      </c>
      <c r="J39" s="463">
        <f>'Dettaglio SP Passivo'!L47</f>
        <v>21887801.964876719</v>
      </c>
    </row>
    <row r="40" spans="1:10" ht="13.5" thickBot="1" x14ac:dyDescent="0.25">
      <c r="A40" s="284"/>
      <c r="B40" s="285" t="s">
        <v>189</v>
      </c>
      <c r="C40" s="451">
        <f>'Dettaglio SP Passivo'!E57</f>
        <v>19569964.390000001</v>
      </c>
      <c r="D40" s="452">
        <f>'Dettaglio SP Passivo'!F57</f>
        <v>0</v>
      </c>
      <c r="E40" s="452">
        <f>'Dettaglio SP Passivo'!G57</f>
        <v>107249.90999999463</v>
      </c>
      <c r="F40" s="452">
        <f>'Dettaglio SP Passivo'!H57</f>
        <v>447711.05000000075</v>
      </c>
      <c r="G40" s="452">
        <f>'Dettaglio SP Passivo'!I57</f>
        <v>2786.609999999404</v>
      </c>
      <c r="H40" s="452">
        <f>'Dettaglio SP Passivo'!J57</f>
        <v>0.94999999999999929</v>
      </c>
      <c r="I40" s="452">
        <f>'Dettaglio SP Passivo'!K57</f>
        <v>0</v>
      </c>
      <c r="J40" s="463">
        <f>'Dettaglio SP Passivo'!L57</f>
        <v>20127712.909999993</v>
      </c>
    </row>
    <row r="41" spans="1:10" ht="15.75" thickBot="1" x14ac:dyDescent="0.3">
      <c r="A41" s="286"/>
      <c r="B41" s="295" t="s">
        <v>3</v>
      </c>
      <c r="C41" s="449">
        <f>'Dettaglio SP Passivo'!E58</f>
        <v>80222280.975122496</v>
      </c>
      <c r="D41" s="450">
        <f>'Dettaglio SP Passivo'!F58</f>
        <v>0</v>
      </c>
      <c r="E41" s="450">
        <f>'Dettaglio SP Passivo'!G58</f>
        <v>732714.2561953502</v>
      </c>
      <c r="F41" s="450">
        <f>'Dettaglio SP Passivo'!H58</f>
        <v>14850336.250000002</v>
      </c>
      <c r="G41" s="450">
        <f>'Dettaglio SP Passivo'!I58</f>
        <v>3001.4542700327438</v>
      </c>
      <c r="H41" s="450">
        <f>'Dettaglio SP Passivo'!J58</f>
        <v>3963995.1825000015</v>
      </c>
      <c r="I41" s="450">
        <f>'Dettaglio SP Passivo'!K58</f>
        <v>0</v>
      </c>
      <c r="J41" s="464">
        <f>'Dettaglio SP Passivo'!L58</f>
        <v>99772328.118087888</v>
      </c>
    </row>
    <row r="42" spans="1:10" ht="13.5" thickTop="1" x14ac:dyDescent="0.2">
      <c r="A42" s="287"/>
      <c r="B42" s="288"/>
    </row>
    <row r="43" spans="1:10" x14ac:dyDescent="0.2">
      <c r="A43" s="287"/>
      <c r="B43" s="288"/>
    </row>
    <row r="44" spans="1:10" x14ac:dyDescent="0.2">
      <c r="A44" s="287"/>
      <c r="B44" s="288"/>
    </row>
    <row r="45" spans="1:10" x14ac:dyDescent="0.2">
      <c r="A45" s="287"/>
      <c r="B45" s="288"/>
    </row>
    <row r="46" spans="1:10" x14ac:dyDescent="0.2">
      <c r="A46" s="287"/>
      <c r="B46" s="288"/>
    </row>
    <row r="47" spans="1:10" x14ac:dyDescent="0.2">
      <c r="A47" s="287"/>
      <c r="B47" s="288"/>
    </row>
    <row r="48" spans="1:10" x14ac:dyDescent="0.2">
      <c r="A48" s="287"/>
      <c r="B48" s="288"/>
    </row>
    <row r="49" spans="1:2" x14ac:dyDescent="0.2">
      <c r="A49" s="287"/>
      <c r="B49" s="288"/>
    </row>
    <row r="50" spans="1:2" x14ac:dyDescent="0.2">
      <c r="A50" s="287"/>
      <c r="B50" s="288"/>
    </row>
    <row r="51" spans="1:2" x14ac:dyDescent="0.2">
      <c r="A51" s="287"/>
      <c r="B51" s="288"/>
    </row>
    <row r="52" spans="1:2" x14ac:dyDescent="0.2">
      <c r="A52" s="287"/>
      <c r="B52" s="288"/>
    </row>
    <row r="53" spans="1:2" x14ac:dyDescent="0.2">
      <c r="A53" s="287"/>
      <c r="B53" s="288"/>
    </row>
    <row r="54" spans="1:2" x14ac:dyDescent="0.2">
      <c r="A54" s="287"/>
      <c r="B54" s="288"/>
    </row>
    <row r="55" spans="1:2" x14ac:dyDescent="0.2">
      <c r="A55" s="287"/>
      <c r="B55" s="288"/>
    </row>
    <row r="56" spans="1:2" x14ac:dyDescent="0.2">
      <c r="A56" s="287"/>
      <c r="B56" s="288"/>
    </row>
    <row r="57" spans="1:2" x14ac:dyDescent="0.2">
      <c r="A57" s="287"/>
      <c r="B57" s="288"/>
    </row>
    <row r="58" spans="1:2" x14ac:dyDescent="0.2">
      <c r="A58" s="287"/>
      <c r="B58" s="288"/>
    </row>
    <row r="59" spans="1:2" x14ac:dyDescent="0.2">
      <c r="A59" s="287"/>
      <c r="B59" s="288"/>
    </row>
    <row r="60" spans="1:2" x14ac:dyDescent="0.2">
      <c r="A60" s="287"/>
      <c r="B60" s="288"/>
    </row>
    <row r="61" spans="1:2" x14ac:dyDescent="0.2">
      <c r="A61" s="287"/>
      <c r="B61" s="288"/>
    </row>
    <row r="62" spans="1:2" x14ac:dyDescent="0.2">
      <c r="A62" s="287"/>
      <c r="B62" s="288"/>
    </row>
    <row r="63" spans="1:2" x14ac:dyDescent="0.2">
      <c r="A63" s="287"/>
      <c r="B63" s="288"/>
    </row>
    <row r="64" spans="1:2" x14ac:dyDescent="0.2">
      <c r="A64" s="287"/>
      <c r="B64" s="288"/>
    </row>
    <row r="65" spans="1:2" x14ac:dyDescent="0.2">
      <c r="A65" s="287"/>
      <c r="B65" s="288"/>
    </row>
    <row r="66" spans="1:2" x14ac:dyDescent="0.2">
      <c r="A66" s="287"/>
      <c r="B66" s="288"/>
    </row>
    <row r="67" spans="1:2" x14ac:dyDescent="0.2">
      <c r="A67" s="287"/>
      <c r="B67" s="288"/>
    </row>
    <row r="68" spans="1:2" x14ac:dyDescent="0.2">
      <c r="A68" s="287"/>
      <c r="B68" s="288"/>
    </row>
    <row r="69" spans="1:2" x14ac:dyDescent="0.2">
      <c r="A69" s="287"/>
      <c r="B69" s="288"/>
    </row>
    <row r="70" spans="1:2" x14ac:dyDescent="0.2">
      <c r="A70" s="287"/>
      <c r="B70" s="288"/>
    </row>
    <row r="71" spans="1:2" x14ac:dyDescent="0.2">
      <c r="A71" s="287"/>
      <c r="B71" s="288"/>
    </row>
    <row r="72" spans="1:2" x14ac:dyDescent="0.2">
      <c r="A72" s="287"/>
      <c r="B72" s="288"/>
    </row>
    <row r="73" spans="1:2" x14ac:dyDescent="0.2">
      <c r="A73" s="287"/>
      <c r="B73" s="288"/>
    </row>
  </sheetData>
  <mergeCells count="27">
    <mergeCell ref="A15:B16"/>
    <mergeCell ref="C15:C16"/>
    <mergeCell ref="J1:J2"/>
    <mergeCell ref="A1:B2"/>
    <mergeCell ref="C1:C2"/>
    <mergeCell ref="G1:G2"/>
    <mergeCell ref="H1:H2"/>
    <mergeCell ref="I1:I2"/>
    <mergeCell ref="D1:D2"/>
    <mergeCell ref="E1:E2"/>
    <mergeCell ref="F1:F2"/>
    <mergeCell ref="G15:G16"/>
    <mergeCell ref="H15:H16"/>
    <mergeCell ref="I15:I16"/>
    <mergeCell ref="J15:J16"/>
    <mergeCell ref="D15:D16"/>
    <mergeCell ref="A33:B34"/>
    <mergeCell ref="C33:C34"/>
    <mergeCell ref="G33:G34"/>
    <mergeCell ref="H33:H34"/>
    <mergeCell ref="I33:I34"/>
    <mergeCell ref="J33:J34"/>
    <mergeCell ref="E15:E16"/>
    <mergeCell ref="F15:F16"/>
    <mergeCell ref="D33:D34"/>
    <mergeCell ref="E33:E34"/>
    <mergeCell ref="F33:F34"/>
  </mergeCells>
  <pageMargins left="0.74803149606299213" right="0.74803149606299213" top="0.27559055118110237" bottom="7.874015748031496E-2" header="0.15748031496062992" footer="0.19685039370078741"/>
  <pageSetup paperSize="8" fitToHeight="1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9</vt:i4>
      </vt:variant>
    </vt:vector>
  </HeadingPairs>
  <TitlesOfParts>
    <vt:vector size="16" baseType="lpstr">
      <vt:lpstr>C.ECONOMICO</vt:lpstr>
      <vt:lpstr>ATTIVO PATR</vt:lpstr>
      <vt:lpstr>PASSIVO PATR</vt:lpstr>
      <vt:lpstr>Dettaglio CE</vt:lpstr>
      <vt:lpstr>Dettaglio SP Attivo</vt:lpstr>
      <vt:lpstr>Dettaglio SP Passivo</vt:lpstr>
      <vt:lpstr>Riepiloghi</vt:lpstr>
      <vt:lpstr>'ATTIVO PATR'!Area_stampa</vt:lpstr>
      <vt:lpstr>C.ECONOMICO!Area_stampa</vt:lpstr>
      <vt:lpstr>'Dettaglio CE'!Area_stampa</vt:lpstr>
      <vt:lpstr>'Dettaglio SP Attivo'!Area_stampa</vt:lpstr>
      <vt:lpstr>'Dettaglio SP Passivo'!Area_stampa</vt:lpstr>
      <vt:lpstr>'PASSIVO PATR'!Area_stampa</vt:lpstr>
      <vt:lpstr>Riepiloghi!Area_stampa</vt:lpstr>
      <vt:lpstr>'ATTIVO PATR'!Titoli_stampa</vt:lpstr>
      <vt:lpstr>'Dettaglio SP Attivo'!Titoli_stampa</vt:lpstr>
    </vt:vector>
  </TitlesOfParts>
  <Company>OEM Preinstall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Unregistered</dc:creator>
  <cp:lastModifiedBy>Antonella AS. Serra</cp:lastModifiedBy>
  <cp:lastPrinted>2018-07-27T07:10:53Z</cp:lastPrinted>
  <dcterms:created xsi:type="dcterms:W3CDTF">2000-02-27T15:14:19Z</dcterms:created>
  <dcterms:modified xsi:type="dcterms:W3CDTF">2019-10-04T15:00:46Z</dcterms:modified>
</cp:coreProperties>
</file>