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a.lai\Desktop\PEF 2019\"/>
    </mc:Choice>
  </mc:AlternateContent>
  <bookViews>
    <workbookView xWindow="0" yWindow="0" windowWidth="23040" windowHeight="10452"/>
  </bookViews>
  <sheets>
    <sheet name="Copertina" sheetId="6" r:id="rId1"/>
    <sheet name="CG" sheetId="1" r:id="rId2"/>
    <sheet name="CK" sheetId="3" r:id="rId3"/>
    <sheet name="CC" sheetId="2" r:id="rId4"/>
    <sheet name="Riduzioni" sheetId="5" r:id="rId5"/>
    <sheet name="Prosp.riass." sheetId="4" r:id="rId6"/>
  </sheets>
  <definedNames>
    <definedName name="_xlnm.Print_Area" localSheetId="3">CC!$A$1:$G$25</definedName>
    <definedName name="_xlnm.Print_Area" localSheetId="1">CG!$B$2:$O$49</definedName>
    <definedName name="_xlnm.Print_Area" localSheetId="2">CK!$A$1:$B$45</definedName>
    <definedName name="_xlnm.Print_Area" localSheetId="0">Copertina!$A$1:$O$33</definedName>
    <definedName name="_xlnm.Print_Area" localSheetId="5">Prosp.riass.!$A$1:$C$37</definedName>
    <definedName name="_xlnm.Print_Area" localSheetId="4">Riduzioni!$A$1:$C$22</definedName>
  </definedNames>
  <calcPr calcId="162913"/>
</workbook>
</file>

<file path=xl/calcChain.xml><?xml version="1.0" encoding="utf-8"?>
<calcChain xmlns="http://schemas.openxmlformats.org/spreadsheetml/2006/main">
  <c r="AA20" i="1" l="1"/>
  <c r="T7" i="1" l="1"/>
  <c r="T8" i="1"/>
  <c r="T9" i="1"/>
  <c r="T11" i="1" l="1"/>
  <c r="C10" i="5" l="1"/>
  <c r="C9" i="5"/>
  <c r="U23" i="1" l="1"/>
  <c r="V11" i="1"/>
  <c r="W14" i="1" s="1"/>
  <c r="S8" i="1" l="1"/>
  <c r="S9" i="1"/>
  <c r="S10" i="1"/>
  <c r="W10" i="1" s="1"/>
  <c r="S7" i="1" l="1"/>
  <c r="G21" i="2" l="1"/>
  <c r="D47" i="1" l="1"/>
  <c r="S72" i="1" l="1"/>
  <c r="S65" i="1"/>
  <c r="S51" i="1"/>
  <c r="C17" i="2" l="1"/>
  <c r="B17" i="2"/>
  <c r="E12" i="2"/>
  <c r="E10" i="2"/>
  <c r="S71" i="1" l="1"/>
  <c r="S70" i="1"/>
  <c r="S64" i="1"/>
  <c r="S63" i="1"/>
  <c r="S59" i="1"/>
  <c r="S58" i="1"/>
  <c r="S57" i="1"/>
  <c r="S56" i="1"/>
  <c r="S49" i="1"/>
  <c r="S52" i="1"/>
  <c r="S50" i="1"/>
  <c r="S45" i="1"/>
  <c r="S44" i="1"/>
  <c r="S43" i="1"/>
  <c r="S42" i="1"/>
  <c r="S38" i="1"/>
  <c r="S37" i="1"/>
  <c r="S36" i="1"/>
  <c r="S35" i="1"/>
  <c r="U30" i="1"/>
  <c r="U29" i="1"/>
  <c r="U28" i="1"/>
  <c r="U27" i="1"/>
  <c r="S29" i="1"/>
  <c r="S28" i="1"/>
  <c r="S27" i="1"/>
  <c r="S18" i="1"/>
  <c r="S17" i="1"/>
  <c r="S16" i="1"/>
  <c r="S15" i="1"/>
  <c r="U9" i="1"/>
  <c r="U8" i="1"/>
  <c r="U7" i="1"/>
  <c r="W7" i="1" l="1"/>
  <c r="AA7" i="1"/>
  <c r="W9" i="1"/>
  <c r="AA9" i="1"/>
  <c r="AB14" i="1"/>
  <c r="W8" i="1"/>
  <c r="AA8" i="1"/>
  <c r="S82" i="1"/>
  <c r="W101" i="1"/>
  <c r="V30" i="1" l="1"/>
  <c r="V3" i="1" l="1"/>
  <c r="W3" i="1" s="1"/>
  <c r="S74" i="1"/>
  <c r="S67" i="1"/>
  <c r="S60" i="1"/>
  <c r="U31" i="1"/>
  <c r="S31" i="1"/>
  <c r="T31" i="1" l="1"/>
  <c r="V28" i="1"/>
  <c r="X28" i="1" s="1"/>
  <c r="E22" i="1" s="1"/>
  <c r="U71" i="1"/>
  <c r="E21" i="1" s="1"/>
  <c r="U64" i="1"/>
  <c r="E20" i="1" s="1"/>
  <c r="U50" i="1"/>
  <c r="E19" i="1" s="1"/>
  <c r="U57" i="1"/>
  <c r="E18" i="1" s="1"/>
  <c r="U56" i="1"/>
  <c r="U43" i="1"/>
  <c r="E17" i="1" s="1"/>
  <c r="U36" i="1"/>
  <c r="E16" i="1" s="1"/>
  <c r="S19" i="1"/>
  <c r="Y8" i="1"/>
  <c r="E8" i="1" s="1"/>
  <c r="S39" i="1" l="1"/>
  <c r="S53" i="1"/>
  <c r="U16" i="1"/>
  <c r="V29" i="1" l="1"/>
  <c r="X29" i="1" s="1"/>
  <c r="F22" i="1" s="1"/>
  <c r="X30" i="1"/>
  <c r="C22" i="1" s="1"/>
  <c r="V27" i="1"/>
  <c r="X27" i="1" s="1"/>
  <c r="U73" i="1"/>
  <c r="C21" i="1" s="1"/>
  <c r="U72" i="1"/>
  <c r="F21" i="1" s="1"/>
  <c r="U70" i="1"/>
  <c r="U66" i="1"/>
  <c r="C20" i="1" s="1"/>
  <c r="U65" i="1"/>
  <c r="F20" i="1" s="1"/>
  <c r="U63" i="1"/>
  <c r="U59" i="1"/>
  <c r="C18" i="1" s="1"/>
  <c r="U58" i="1"/>
  <c r="F18" i="1" s="1"/>
  <c r="U42" i="1"/>
  <c r="U52" i="1"/>
  <c r="C19" i="1" s="1"/>
  <c r="U51" i="1"/>
  <c r="F19" i="1" s="1"/>
  <c r="U49" i="1"/>
  <c r="U45" i="1"/>
  <c r="C17" i="1" s="1"/>
  <c r="U37" i="1"/>
  <c r="F16" i="1" s="1"/>
  <c r="U38" i="1"/>
  <c r="C16" i="1" s="1"/>
  <c r="U35" i="1"/>
  <c r="O46" i="1"/>
  <c r="G42" i="1"/>
  <c r="U17" i="1"/>
  <c r="F9" i="1" s="1"/>
  <c r="U18" i="1"/>
  <c r="U15" i="1"/>
  <c r="Y10" i="1"/>
  <c r="C8" i="1" s="1"/>
  <c r="Y9" i="1"/>
  <c r="F8" i="1" s="1"/>
  <c r="U44" i="1" l="1"/>
  <c r="F17" i="1" s="1"/>
  <c r="S46" i="1"/>
  <c r="U39" i="1"/>
  <c r="U67" i="1"/>
  <c r="X31" i="1"/>
  <c r="U74" i="1"/>
  <c r="U60" i="1"/>
  <c r="U53" i="1"/>
  <c r="U46" i="1"/>
  <c r="Y7" i="1"/>
  <c r="U19" i="1"/>
  <c r="U11" i="1"/>
  <c r="S11" i="1"/>
  <c r="Y11" i="1" l="1"/>
  <c r="W69" i="1"/>
  <c r="B5" i="3" s="1"/>
  <c r="C24" i="1"/>
  <c r="W11" i="1"/>
  <c r="C22" i="5" l="1"/>
  <c r="B22" i="5"/>
  <c r="C14" i="5"/>
  <c r="B21" i="4" s="1"/>
  <c r="B14" i="5"/>
  <c r="B30" i="4" s="1"/>
  <c r="M23" i="1"/>
  <c r="L24" i="1"/>
  <c r="G45" i="1"/>
  <c r="H45" i="1" s="1"/>
  <c r="M45" i="1" s="1"/>
  <c r="G44" i="1"/>
  <c r="H44" i="1" s="1"/>
  <c r="M44" i="1" s="1"/>
  <c r="G43" i="1"/>
  <c r="H43" i="1" s="1"/>
  <c r="M43" i="1" s="1"/>
  <c r="H42" i="1"/>
  <c r="M42" i="1" s="1"/>
  <c r="G41" i="1"/>
  <c r="H41" i="1" s="1"/>
  <c r="M41" i="1" s="1"/>
  <c r="G40" i="1"/>
  <c r="H40" i="1" s="1"/>
  <c r="M40" i="1" s="1"/>
  <c r="G39" i="1"/>
  <c r="H39" i="1" s="1"/>
  <c r="M39" i="1" s="1"/>
  <c r="G38" i="1"/>
  <c r="H38" i="1" s="1"/>
  <c r="M38" i="1" s="1"/>
  <c r="G37" i="1"/>
  <c r="H37" i="1" s="1"/>
  <c r="M37" i="1" s="1"/>
  <c r="G36" i="1"/>
  <c r="H36" i="1" s="1"/>
  <c r="M36" i="1" s="1"/>
  <c r="G35" i="1"/>
  <c r="H35" i="1" s="1"/>
  <c r="M35" i="1" s="1"/>
  <c r="G34" i="1"/>
  <c r="H34" i="1" s="1"/>
  <c r="M34" i="1" s="1"/>
  <c r="G33" i="1"/>
  <c r="H33" i="1" s="1"/>
  <c r="M33" i="1" s="1"/>
  <c r="G32" i="1"/>
  <c r="H32" i="1" s="1"/>
  <c r="M32" i="1" s="1"/>
  <c r="G31" i="1"/>
  <c r="H31" i="1" s="1"/>
  <c r="M31" i="1" s="1"/>
  <c r="G30" i="1"/>
  <c r="H30" i="1" s="1"/>
  <c r="M30" i="1" s="1"/>
  <c r="G29" i="1"/>
  <c r="H29" i="1" s="1"/>
  <c r="M29" i="1" s="1"/>
  <c r="G28" i="1"/>
  <c r="H28" i="1" s="1"/>
  <c r="M28" i="1" s="1"/>
  <c r="G27" i="1"/>
  <c r="H27" i="1" s="1"/>
  <c r="G22" i="1"/>
  <c r="G21" i="1"/>
  <c r="G20" i="1"/>
  <c r="G19" i="1"/>
  <c r="G18" i="1"/>
  <c r="G17" i="1"/>
  <c r="G16" i="1"/>
  <c r="G11" i="1"/>
  <c r="G10" i="1"/>
  <c r="H9" i="1"/>
  <c r="M9" i="1" s="1"/>
  <c r="B17" i="4" s="1"/>
  <c r="F47" i="1"/>
  <c r="F24" i="1"/>
  <c r="H8" i="1"/>
  <c r="M8" i="1" s="1"/>
  <c r="F12" i="1"/>
  <c r="B6" i="4" l="1"/>
  <c r="B7" i="4" s="1"/>
  <c r="B5" i="4"/>
  <c r="B25" i="4"/>
  <c r="F49" i="1"/>
  <c r="H11" i="1"/>
  <c r="M11" i="1" s="1"/>
  <c r="B29" i="4" s="1"/>
  <c r="H17" i="1"/>
  <c r="M17" i="1" s="1"/>
  <c r="H16" i="1"/>
  <c r="M16" i="1" s="1"/>
  <c r="H47" i="1"/>
  <c r="M27" i="1"/>
  <c r="B39" i="3"/>
  <c r="B29" i="3"/>
  <c r="B17" i="3"/>
  <c r="B11" i="3"/>
  <c r="F23" i="2"/>
  <c r="E23" i="2"/>
  <c r="D23" i="2"/>
  <c r="C23" i="2"/>
  <c r="B23" i="2"/>
  <c r="G22" i="2"/>
  <c r="G20" i="2"/>
  <c r="G19" i="2"/>
  <c r="G18" i="2"/>
  <c r="G17" i="2"/>
  <c r="R81" i="1" s="1"/>
  <c r="S81" i="1" s="1"/>
  <c r="F14" i="2"/>
  <c r="D14" i="2"/>
  <c r="C14" i="2"/>
  <c r="B14" i="2"/>
  <c r="G12" i="2"/>
  <c r="G10" i="2"/>
  <c r="F7" i="2"/>
  <c r="D7" i="2"/>
  <c r="C7" i="2"/>
  <c r="B7" i="2"/>
  <c r="G6" i="2"/>
  <c r="G5" i="2"/>
  <c r="B41" i="3" l="1"/>
  <c r="B43" i="3" s="1"/>
  <c r="B45" i="3" s="1"/>
  <c r="G7" i="2"/>
  <c r="B26" i="4" s="1"/>
  <c r="G23" i="2"/>
  <c r="B28" i="4" s="1"/>
  <c r="F25" i="2"/>
  <c r="D25" i="2"/>
  <c r="C25" i="2"/>
  <c r="B25" i="2"/>
  <c r="H10" i="1"/>
  <c r="H18" i="1"/>
  <c r="M18" i="1" s="1"/>
  <c r="M10" i="1" l="1"/>
  <c r="B18" i="4" s="1"/>
  <c r="B32" i="4"/>
  <c r="B4" i="4"/>
  <c r="H12" i="1"/>
  <c r="H19" i="1"/>
  <c r="M19" i="1" s="1"/>
  <c r="H20" i="1" l="1"/>
  <c r="M20" i="1" s="1"/>
  <c r="L47" i="1"/>
  <c r="K47" i="1"/>
  <c r="J47" i="1"/>
  <c r="I47" i="1"/>
  <c r="E47" i="1"/>
  <c r="H22" i="1" l="1"/>
  <c r="M22" i="1" s="1"/>
  <c r="H21" i="1"/>
  <c r="C47" i="1"/>
  <c r="K24" i="1"/>
  <c r="J24" i="1"/>
  <c r="I24" i="1"/>
  <c r="E24" i="1"/>
  <c r="D24" i="1"/>
  <c r="L12" i="1"/>
  <c r="K12" i="1"/>
  <c r="J12" i="1"/>
  <c r="I12" i="1"/>
  <c r="E12" i="1"/>
  <c r="D12" i="1"/>
  <c r="C12" i="1"/>
  <c r="M21" i="1" l="1"/>
  <c r="H24" i="1"/>
  <c r="H49" i="1" s="1"/>
  <c r="E13" i="2" s="1"/>
  <c r="L49" i="1"/>
  <c r="M47" i="1"/>
  <c r="K49" i="1"/>
  <c r="D49" i="1"/>
  <c r="J49" i="1"/>
  <c r="E49" i="1"/>
  <c r="M12" i="1"/>
  <c r="I49" i="1"/>
  <c r="C49" i="1"/>
  <c r="B20" i="4" l="1"/>
  <c r="M24" i="1"/>
  <c r="C2" i="5" s="1"/>
  <c r="G13" i="2"/>
  <c r="G14" i="2" s="1"/>
  <c r="E14" i="2"/>
  <c r="E25" i="2" s="1"/>
  <c r="B19" i="4" l="1"/>
  <c r="B22" i="4" s="1"/>
  <c r="C4" i="5"/>
  <c r="B10" i="4" s="1"/>
  <c r="M49" i="1"/>
  <c r="B27" i="4"/>
  <c r="G25" i="2"/>
  <c r="B2" i="4" l="1"/>
  <c r="M30" i="2"/>
  <c r="B3" i="4"/>
  <c r="B31" i="4"/>
  <c r="B33" i="4" s="1"/>
  <c r="B35" i="4" s="1"/>
  <c r="B8" i="4" l="1"/>
  <c r="B36" i="4" s="1"/>
</calcChain>
</file>

<file path=xl/sharedStrings.xml><?xml version="1.0" encoding="utf-8"?>
<sst xmlns="http://schemas.openxmlformats.org/spreadsheetml/2006/main" count="258" uniqueCount="185">
  <si>
    <t>Frazione Organica (FORSU)</t>
  </si>
  <si>
    <t>Carta</t>
  </si>
  <si>
    <t>Plastica</t>
  </si>
  <si>
    <t>Vetro</t>
  </si>
  <si>
    <t>Verde</t>
  </si>
  <si>
    <t>Ingombranti</t>
  </si>
  <si>
    <t>CGIND – Ciclo dei rifiuti urbani indifferenziati</t>
  </si>
  <si>
    <t>CGD – Ciclo della raccolta differenziata</t>
  </si>
  <si>
    <t>B7 Servizi</t>
  </si>
  <si>
    <t>B9 Personale</t>
  </si>
  <si>
    <t>B11 Variazioni rimanenze</t>
  </si>
  <si>
    <t>B12 accanton. per rischi</t>
  </si>
  <si>
    <t>B13 altri accantonam.</t>
  </si>
  <si>
    <t>B14 Oneri diversi</t>
  </si>
  <si>
    <t>B8 Godimento beni di terzi</t>
  </si>
  <si>
    <t>B6 materie di consumo e merci</t>
  </si>
  <si>
    <t>Totale</t>
  </si>
  <si>
    <t>TOTALE</t>
  </si>
  <si>
    <t>Carta e cartone</t>
  </si>
  <si>
    <t>Farmaci</t>
  </si>
  <si>
    <t>Filtri olio</t>
  </si>
  <si>
    <t>Inerti</t>
  </si>
  <si>
    <t>Legno</t>
  </si>
  <si>
    <t>Pile</t>
  </si>
  <si>
    <t>Pneumatici</t>
  </si>
  <si>
    <t>Sabbia</t>
  </si>
  <si>
    <t>Toner</t>
  </si>
  <si>
    <t>Oli minerali</t>
  </si>
  <si>
    <t>Rifiuti abbandonati</t>
  </si>
  <si>
    <t>Cimiteriali</t>
  </si>
  <si>
    <t>Totale CGIND</t>
  </si>
  <si>
    <t>Totale CTR</t>
  </si>
  <si>
    <t>Totale CC</t>
  </si>
  <si>
    <t>Attività 1</t>
  </si>
  <si>
    <t>CC - COSTI COMUNI</t>
  </si>
  <si>
    <t>CG - COSTI OPERATIVI DI GESTIONE</t>
  </si>
  <si>
    <t xml:space="preserve">Ammortamento impianti  </t>
  </si>
  <si>
    <t>Ammortamento mezzi e attrezzature</t>
  </si>
  <si>
    <t xml:space="preserve">Ammortamento harware e software </t>
  </si>
  <si>
    <t>Ammortamento start up nuove attività</t>
  </si>
  <si>
    <t>Ammortamento beni materiali</t>
  </si>
  <si>
    <t>Ammortamento immobili</t>
  </si>
  <si>
    <t>Accantonamento per minori entrate per riduzioni di tariffa</t>
  </si>
  <si>
    <t xml:space="preserve">Accantonamento per agevolazione legata al recupero </t>
  </si>
  <si>
    <t xml:space="preserve">Accantonamento per inesigibili </t>
  </si>
  <si>
    <t>A - Investimenti per l’anno di riferimento</t>
  </si>
  <si>
    <t>Compattatori</t>
  </si>
  <si>
    <t>Automezzi</t>
  </si>
  <si>
    <t>Contenitori</t>
  </si>
  <si>
    <t>Piattaforma</t>
  </si>
  <si>
    <t>Immobili</t>
  </si>
  <si>
    <t>Altro</t>
  </si>
  <si>
    <t>Totale A</t>
  </si>
  <si>
    <t>Hardware</t>
  </si>
  <si>
    <t>Totale B</t>
  </si>
  <si>
    <t>Capitale netto investito (A+B)</t>
  </si>
  <si>
    <t xml:space="preserve">Tasso di rendimento rn </t>
  </si>
  <si>
    <t xml:space="preserve">AMMn – Ammortamenti per l’anno di riferimento </t>
  </si>
  <si>
    <t xml:space="preserve">ACCn – Accantonamenti per l’anno di riferimento </t>
  </si>
  <si>
    <t>Rn - Remunerazione del capitale investito per l’anno di riferimento</t>
  </si>
  <si>
    <t>Altri ammortamenti</t>
  </si>
  <si>
    <t>Rendimento del capitale (A+B) x rn</t>
  </si>
  <si>
    <t>RIPARTIZIONE COSTI FISSI E VARIABILI</t>
  </si>
  <si>
    <t>COSTI FISSI</t>
  </si>
  <si>
    <t xml:space="preserve">Totale </t>
  </si>
  <si>
    <t>Prospetto riassuntivo</t>
  </si>
  <si>
    <t>COSTI VARIABILI</t>
  </si>
  <si>
    <t>CRD - Costi di Raccolta Differenziata per materiale</t>
  </si>
  <si>
    <t>CTR - Costi di trattamenti e riciclo</t>
  </si>
  <si>
    <t>CGG -  Costi Generali di Gestione</t>
  </si>
  <si>
    <t>CCD - Costi Comuni Diversi</t>
  </si>
  <si>
    <t>AC - Altri Costi</t>
  </si>
  <si>
    <t>CK - Costi d'uso del capitale</t>
  </si>
  <si>
    <t>CRT - Costi di Raccolta e Trasporto RSU</t>
  </si>
  <si>
    <t>CTS - Costi di Trattamento e Smaltimento RSU</t>
  </si>
  <si>
    <t xml:space="preserve">CRD - Costi della Raccolta differenziata </t>
  </si>
  <si>
    <t>CGG - Costi Generali di Gestione</t>
  </si>
  <si>
    <t>CG - Costi operativi di Gestione</t>
  </si>
  <si>
    <t>CC- Costi comuni</t>
  </si>
  <si>
    <t xml:space="preserve">CTS - Costi di Trattamento e Smaltimento RSU </t>
  </si>
  <si>
    <t>B – Cespiti in ammortamento per l’anno di riferimento (valore residuo)</t>
  </si>
  <si>
    <t>CK  - COSTI D'USO DEL CAPITALE</t>
  </si>
  <si>
    <t>Entrate</t>
  </si>
  <si>
    <t>Materie di consumo e merci</t>
  </si>
  <si>
    <t>Servizi</t>
  </si>
  <si>
    <t>Godimento beni di terzi</t>
  </si>
  <si>
    <t>Personale</t>
  </si>
  <si>
    <t>Totale CG</t>
  </si>
  <si>
    <t xml:space="preserve"> CTR  - Costi di trattamento e riciclo</t>
  </si>
  <si>
    <t>Totale CRD</t>
  </si>
  <si>
    <t>CARC – Costi amm.vi accert., riscoss. e cont.</t>
  </si>
  <si>
    <t>CARC - Costi Amm. di accertam., riscoss. e cont.</t>
  </si>
  <si>
    <t>CSL - Costi di spazz. e Lavaggio strade e aree pubbl.</t>
  </si>
  <si>
    <t>CSL - Costi Spazz. e Lavaggio strade e aree pubbl.</t>
  </si>
  <si>
    <t>Fondo rischi crediti</t>
  </si>
  <si>
    <t>Recupero evasione (a dedurre)</t>
  </si>
  <si>
    <t>Totale CK</t>
  </si>
  <si>
    <t>CRT - Costi raccolta e trasporto RSU</t>
  </si>
  <si>
    <t>Entrate da recupero (a dedurre)</t>
  </si>
  <si>
    <t xml:space="preserve"> - abitazioni con unico occupante</t>
  </si>
  <si>
    <t xml:space="preserve"> - abitazioni a disposizione</t>
  </si>
  <si>
    <t xml:space="preserve"> - utenze non domestiche stagionali</t>
  </si>
  <si>
    <t xml:space="preserve"> - abitazioni di residenti all'estero</t>
  </si>
  <si>
    <t xml:space="preserve"> - fabbricati rurali ad uso abitativo</t>
  </si>
  <si>
    <t xml:space="preserve"> - utenze fuori zona di raccolta</t>
  </si>
  <si>
    <t>Quota fissa</t>
  </si>
  <si>
    <t>Quota variab.</t>
  </si>
  <si>
    <t>Riduzioni parte variabile</t>
  </si>
  <si>
    <t>Altri costi</t>
  </si>
  <si>
    <t>Minori entrate per riduzioni</t>
  </si>
  <si>
    <t xml:space="preserve">Contributo Miur (a dedurre) </t>
  </si>
  <si>
    <t>Crediti inesigibili al netto fondo rischi crediti</t>
  </si>
  <si>
    <t>Riduzioni parte fissa</t>
  </si>
  <si>
    <t>Totale CARC</t>
  </si>
  <si>
    <t>Totale CGG</t>
  </si>
  <si>
    <t>Totale CCD</t>
  </si>
  <si>
    <t>Totale costi</t>
  </si>
  <si>
    <t>%</t>
  </si>
  <si>
    <t>Quota</t>
  </si>
  <si>
    <t xml:space="preserve">€ </t>
  </si>
  <si>
    <t>Quota  di personale CG</t>
  </si>
  <si>
    <t>quota</t>
  </si>
  <si>
    <t>Contributo CONAI (a dedurre)</t>
  </si>
  <si>
    <t>Agevolazioni</t>
  </si>
  <si>
    <t>ONLUS</t>
  </si>
  <si>
    <t>OPS</t>
  </si>
  <si>
    <t>altro</t>
  </si>
  <si>
    <t xml:space="preserve"> - recupero rifiuti assimilati</t>
  </si>
  <si>
    <t>Riduzioni RD utenze domestiche</t>
  </si>
  <si>
    <t>abbattimento quota variabile per RD</t>
  </si>
  <si>
    <t>abbattimento quota variabile per compostaggio</t>
  </si>
  <si>
    <t>Contributo Comune per agevolazioni</t>
  </si>
  <si>
    <t>Riduzione RD ut. Domestiche</t>
  </si>
  <si>
    <t>Altre riduzioni</t>
  </si>
  <si>
    <t>Totale parziale</t>
  </si>
  <si>
    <t>Servizio di spazzamento</t>
  </si>
  <si>
    <t>Atrezzatura</t>
  </si>
  <si>
    <t>Lavaggio strade</t>
  </si>
  <si>
    <t>Pulizia area Mercato</t>
  </si>
  <si>
    <t>TOT COSTO</t>
  </si>
  <si>
    <t>C.S.L.</t>
  </si>
  <si>
    <t>C.R.T.</t>
  </si>
  <si>
    <t>Raccolta RSU</t>
  </si>
  <si>
    <t>CTS</t>
  </si>
  <si>
    <t>Costo €/ton</t>
  </si>
  <si>
    <t>TOT</t>
  </si>
  <si>
    <t xml:space="preserve">racc. rif. abband da contrat. </t>
  </si>
  <si>
    <t>costo</t>
  </si>
  <si>
    <t>C.R.D. - FORSU</t>
  </si>
  <si>
    <t>C.G.D.</t>
  </si>
  <si>
    <t>C.R.D. - Carta + cellulosici</t>
  </si>
  <si>
    <t>C.R.D. - Vetro e lattine</t>
  </si>
  <si>
    <t>C.R.D. - Plastica</t>
  </si>
  <si>
    <t>C.R.D. - Verde</t>
  </si>
  <si>
    <t>C.R.D. - ingombranti e/o durev</t>
  </si>
  <si>
    <t>Altre tipologie (rifiuti abbandonati + RUP ))</t>
  </si>
  <si>
    <t>raccolta RUP</t>
  </si>
  <si>
    <t xml:space="preserve">  </t>
  </si>
  <si>
    <t>Ingombranti (+ materassi)</t>
  </si>
  <si>
    <t>Altri tipi (frigoriferi + Monitor + Altri elettrodom.+lavatr)</t>
  </si>
  <si>
    <t>Costi di distribuzione a attrezzature e camp info</t>
  </si>
  <si>
    <t>Gestione ecosportello + personale a disposizione</t>
  </si>
  <si>
    <t>Gestione del cantiere</t>
  </si>
  <si>
    <t>Automezzi costo gestione</t>
  </si>
  <si>
    <t>Automezzi ammortam.</t>
  </si>
  <si>
    <t>*</t>
  </si>
  <si>
    <t>Automezzi ammort.</t>
  </si>
  <si>
    <t>Automezzi ammort</t>
  </si>
  <si>
    <t>Automezzi ammortamento</t>
  </si>
  <si>
    <t xml:space="preserve">Automezzi ammortamento </t>
  </si>
  <si>
    <t>Vetro e lattine</t>
  </si>
  <si>
    <t>Automezi costo gestione</t>
  </si>
  <si>
    <t>TOT Ammortamenti</t>
  </si>
  <si>
    <t>IVA</t>
  </si>
  <si>
    <t>smaltimento r.s.u.</t>
  </si>
  <si>
    <t>Spazzam. Integr (+utile)</t>
  </si>
  <si>
    <t>racc. integrativa(+ut)</t>
  </si>
  <si>
    <t>Vernici e solventi</t>
  </si>
  <si>
    <t>Attività 2 (ufficio ambiente)</t>
  </si>
  <si>
    <t>Spese generali</t>
  </si>
  <si>
    <t>detassazione rifiuti tossici nocivi</t>
  </si>
  <si>
    <t>Totale Fissi + Variabili</t>
  </si>
  <si>
    <t xml:space="preserve">Frazione Organica (FORSU) (629,90* 99,00 €/ton=) </t>
  </si>
  <si>
    <t>Ton smaltite 2018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</si>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</sst>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€&quot;\ * #,##0.00_-;\-&quot;€&quot;\ * #,##0.00_-;_-&quot;€&quot;\ * &quot;-&quot;??_-;_-@_-"/>
    <numFmt numFmtId="165" formatCode="#,##0.000"/>
    <numFmt numFmtId="166" formatCode="0.0"/>
    <numFmt numFmtId="167" formatCode="_-&quot;€&quot;\ * #,##0.000_-;\-&quot;€&quot;\ * #,##0.000_-;_-&quot;€&quot;\ * &quot;-&quot;???_-;_-@_-"/>
    <numFmt numFmtId="168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1" fillId="0" borderId="0" xfId="0" applyFont="1" applyAlignment="1">
      <alignment horizontal="right"/>
    </xf>
    <xf numFmtId="164" fontId="1" fillId="3" borderId="4" xfId="0" applyNumberFormat="1" applyFont="1" applyFill="1" applyBorder="1"/>
    <xf numFmtId="164" fontId="1" fillId="3" borderId="8" xfId="0" applyNumberFormat="1" applyFont="1" applyFill="1" applyBorder="1"/>
    <xf numFmtId="0" fontId="1" fillId="0" borderId="4" xfId="0" applyFont="1" applyBorder="1" applyAlignment="1">
      <alignment horizontal="right"/>
    </xf>
    <xf numFmtId="164" fontId="1" fillId="0" borderId="4" xfId="0" applyNumberFormat="1" applyFont="1" applyBorder="1"/>
    <xf numFmtId="0" fontId="0" fillId="0" borderId="0" xfId="0" applyFont="1" applyAlignment="1">
      <alignment vertical="center"/>
    </xf>
    <xf numFmtId="0" fontId="0" fillId="0" borderId="0" xfId="0" applyFont="1"/>
    <xf numFmtId="0" fontId="1" fillId="5" borderId="4" xfId="0" applyFont="1" applyFill="1" applyBorder="1"/>
    <xf numFmtId="0" fontId="1" fillId="5" borderId="4" xfId="0" applyFont="1" applyFill="1" applyBorder="1" applyAlignment="1">
      <alignment wrapText="1"/>
    </xf>
    <xf numFmtId="0" fontId="0" fillId="0" borderId="12" xfId="0" applyFont="1" applyBorder="1"/>
    <xf numFmtId="164" fontId="0" fillId="0" borderId="12" xfId="0" applyNumberFormat="1" applyFont="1" applyBorder="1"/>
    <xf numFmtId="0" fontId="0" fillId="0" borderId="4" xfId="0" applyFont="1" applyBorder="1"/>
    <xf numFmtId="164" fontId="0" fillId="0" borderId="4" xfId="0" applyNumberFormat="1" applyFont="1" applyBorder="1"/>
    <xf numFmtId="164" fontId="0" fillId="2" borderId="4" xfId="0" applyNumberFormat="1" applyFont="1" applyFill="1" applyBorder="1"/>
    <xf numFmtId="164" fontId="0" fillId="0" borderId="7" xfId="0" applyNumberFormat="1" applyFont="1" applyBorder="1"/>
    <xf numFmtId="164" fontId="0" fillId="5" borderId="4" xfId="0" applyNumberFormat="1" applyFont="1" applyFill="1" applyBorder="1"/>
    <xf numFmtId="164" fontId="7" fillId="0" borderId="12" xfId="0" applyNumberFormat="1" applyFont="1" applyFill="1" applyBorder="1" applyAlignment="1">
      <alignment vertical="center" wrapText="1"/>
    </xf>
    <xf numFmtId="164" fontId="7" fillId="0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justify"/>
    </xf>
    <xf numFmtId="164" fontId="6" fillId="0" borderId="4" xfId="0" applyNumberFormat="1" applyFont="1" applyFill="1" applyBorder="1" applyAlignment="1">
      <alignment vertical="center" wrapText="1"/>
    </xf>
    <xf numFmtId="0" fontId="7" fillId="0" borderId="4" xfId="0" applyFont="1" applyBorder="1" applyAlignment="1">
      <alignment horizontal="right" vertical="top" wrapText="1"/>
    </xf>
    <xf numFmtId="0" fontId="7" fillId="0" borderId="4" xfId="0" applyFont="1" applyFill="1" applyBorder="1" applyAlignment="1">
      <alignment horizontal="right" vertical="center" wrapText="1"/>
    </xf>
    <xf numFmtId="10" fontId="7" fillId="0" borderId="4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top" wrapText="1"/>
    </xf>
    <xf numFmtId="164" fontId="6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Alignment="1">
      <alignment horizontal="right"/>
    </xf>
    <xf numFmtId="0" fontId="1" fillId="7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164" fontId="0" fillId="0" borderId="0" xfId="0" applyNumberFormat="1" applyFont="1" applyBorder="1"/>
    <xf numFmtId="164" fontId="1" fillId="7" borderId="4" xfId="0" applyNumberFormat="1" applyFont="1" applyFill="1" applyBorder="1"/>
    <xf numFmtId="0" fontId="0" fillId="0" borderId="0" xfId="0" applyFont="1" applyBorder="1" applyAlignment="1">
      <alignment horizontal="right"/>
    </xf>
    <xf numFmtId="164" fontId="0" fillId="0" borderId="0" xfId="0" applyNumberFormat="1"/>
    <xf numFmtId="0" fontId="0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164" fontId="1" fillId="3" borderId="10" xfId="0" applyNumberFormat="1" applyFont="1" applyFill="1" applyBorder="1"/>
    <xf numFmtId="164" fontId="0" fillId="0" borderId="12" xfId="0" applyNumberFormat="1" applyFont="1" applyFill="1" applyBorder="1"/>
    <xf numFmtId="164" fontId="0" fillId="0" borderId="4" xfId="0" applyNumberFormat="1" applyFont="1" applyFill="1" applyBorder="1"/>
    <xf numFmtId="164" fontId="1" fillId="0" borderId="4" xfId="0" applyNumberFormat="1" applyFont="1" applyFill="1" applyBorder="1"/>
    <xf numFmtId="164" fontId="0" fillId="0" borderId="5" xfId="0" applyNumberFormat="1" applyFont="1" applyBorder="1"/>
    <xf numFmtId="164" fontId="0" fillId="0" borderId="14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Font="1" applyFill="1" applyBorder="1"/>
    <xf numFmtId="0" fontId="0" fillId="0" borderId="7" xfId="0" applyFont="1" applyFill="1" applyBorder="1"/>
    <xf numFmtId="0" fontId="1" fillId="0" borderId="4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19" xfId="0" applyFont="1" applyFill="1" applyBorder="1"/>
    <xf numFmtId="0" fontId="7" fillId="0" borderId="12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4" xfId="0" applyFont="1" applyFill="1" applyBorder="1" applyAlignment="1">
      <alignment vertical="top"/>
    </xf>
    <xf numFmtId="0" fontId="0" fillId="0" borderId="4" xfId="0" applyFont="1" applyFill="1" applyBorder="1" applyAlignment="1">
      <alignment vertical="top"/>
    </xf>
    <xf numFmtId="0" fontId="6" fillId="0" borderId="4" xfId="0" applyFont="1" applyBorder="1" applyAlignment="1">
      <alignment horizontal="right" vertical="top"/>
    </xf>
    <xf numFmtId="0" fontId="0" fillId="0" borderId="4" xfId="0" applyFont="1" applyBorder="1" applyAlignment="1">
      <alignment vertical="top"/>
    </xf>
    <xf numFmtId="0" fontId="6" fillId="0" borderId="4" xfId="0" applyFont="1" applyFill="1" applyBorder="1" applyAlignment="1">
      <alignment horizontal="right" vertical="top"/>
    </xf>
    <xf numFmtId="0" fontId="6" fillId="3" borderId="4" xfId="0" applyFont="1" applyFill="1" applyBorder="1" applyAlignment="1">
      <alignment horizontal="right" vertical="top"/>
    </xf>
    <xf numFmtId="164" fontId="0" fillId="0" borderId="12" xfId="0" applyNumberFormat="1" applyFont="1" applyBorder="1" applyAlignment="1">
      <alignment vertical="center"/>
    </xf>
    <xf numFmtId="164" fontId="0" fillId="0" borderId="4" xfId="0" applyNumberFormat="1" applyFont="1" applyBorder="1" applyAlignment="1">
      <alignment vertical="center"/>
    </xf>
    <xf numFmtId="0" fontId="3" fillId="3" borderId="11" xfId="0" applyFont="1" applyFill="1" applyBorder="1" applyAlignment="1">
      <alignment horizontal="center" vertical="top" wrapText="1"/>
    </xf>
    <xf numFmtId="164" fontId="2" fillId="3" borderId="6" xfId="0" applyNumberFormat="1" applyFont="1" applyFill="1" applyBorder="1"/>
    <xf numFmtId="0" fontId="3" fillId="8" borderId="6" xfId="0" applyFont="1" applyFill="1" applyBorder="1" applyAlignment="1">
      <alignment horizontal="center" vertical="top" wrapText="1"/>
    </xf>
    <xf numFmtId="164" fontId="1" fillId="8" borderId="8" xfId="0" applyNumberFormat="1" applyFont="1" applyFill="1" applyBorder="1"/>
    <xf numFmtId="164" fontId="1" fillId="8" borderId="9" xfId="0" applyNumberFormat="1" applyFont="1" applyFill="1" applyBorder="1"/>
    <xf numFmtId="164" fontId="1" fillId="8" borderId="10" xfId="0" applyNumberFormat="1" applyFont="1" applyFill="1" applyBorder="1"/>
    <xf numFmtId="0" fontId="1" fillId="9" borderId="0" xfId="0" applyFont="1" applyFill="1" applyAlignment="1">
      <alignment horizontal="right"/>
    </xf>
    <xf numFmtId="164" fontId="1" fillId="9" borderId="0" xfId="0" applyNumberFormat="1" applyFont="1" applyFill="1" applyBorder="1"/>
    <xf numFmtId="0" fontId="1" fillId="8" borderId="6" xfId="0" applyFont="1" applyFill="1" applyBorder="1" applyAlignment="1">
      <alignment horizontal="right"/>
    </xf>
    <xf numFmtId="0" fontId="2" fillId="8" borderId="6" xfId="0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9" fontId="1" fillId="0" borderId="0" xfId="0" applyNumberFormat="1" applyFont="1" applyBorder="1" applyAlignment="1">
      <alignment horizontal="right"/>
    </xf>
    <xf numFmtId="0" fontId="0" fillId="0" borderId="4" xfId="0" applyBorder="1"/>
    <xf numFmtId="164" fontId="0" fillId="0" borderId="4" xfId="0" applyNumberFormat="1" applyBorder="1"/>
    <xf numFmtId="0" fontId="1" fillId="8" borderId="4" xfId="0" applyFont="1" applyFill="1" applyBorder="1"/>
    <xf numFmtId="164" fontId="1" fillId="8" borderId="4" xfId="0" applyNumberFormat="1" applyFont="1" applyFill="1" applyBorder="1"/>
    <xf numFmtId="0" fontId="2" fillId="5" borderId="11" xfId="0" applyFont="1" applyFill="1" applyBorder="1" applyAlignment="1">
      <alignment wrapText="1"/>
    </xf>
    <xf numFmtId="0" fontId="0" fillId="5" borderId="17" xfId="0" applyFont="1" applyFill="1" applyBorder="1"/>
    <xf numFmtId="0" fontId="0" fillId="5" borderId="17" xfId="0" applyFont="1" applyFill="1" applyBorder="1" applyAlignment="1">
      <alignment horizontal="center"/>
    </xf>
    <xf numFmtId="0" fontId="0" fillId="5" borderId="18" xfId="0" applyFont="1" applyFill="1" applyBorder="1"/>
    <xf numFmtId="0" fontId="1" fillId="7" borderId="16" xfId="0" applyFont="1" applyFill="1" applyBorder="1"/>
    <xf numFmtId="9" fontId="0" fillId="6" borderId="12" xfId="0" applyNumberFormat="1" applyFont="1" applyFill="1" applyBorder="1"/>
    <xf numFmtId="164" fontId="0" fillId="6" borderId="12" xfId="0" applyNumberFormat="1" applyFont="1" applyFill="1" applyBorder="1"/>
    <xf numFmtId="9" fontId="0" fillId="4" borderId="12" xfId="0" applyNumberFormat="1" applyFont="1" applyFill="1" applyBorder="1"/>
    <xf numFmtId="0" fontId="9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164" fontId="1" fillId="0" borderId="4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1" xfId="0" applyFont="1" applyBorder="1" applyAlignment="1">
      <alignment horizontal="left"/>
    </xf>
    <xf numFmtId="164" fontId="1" fillId="0" borderId="3" xfId="0" applyNumberFormat="1" applyFont="1" applyBorder="1"/>
    <xf numFmtId="0" fontId="0" fillId="0" borderId="0" xfId="0" applyFont="1" applyBorder="1"/>
    <xf numFmtId="4" fontId="0" fillId="0" borderId="0" xfId="0" applyNumberFormat="1"/>
    <xf numFmtId="0" fontId="1" fillId="0" borderId="6" xfId="0" applyFont="1" applyBorder="1" applyAlignment="1">
      <alignment horizontal="center"/>
    </xf>
    <xf numFmtId="4" fontId="0" fillId="0" borderId="0" xfId="0" applyNumberFormat="1" applyFill="1" applyBorder="1"/>
    <xf numFmtId="0" fontId="0" fillId="7" borderId="29" xfId="0" applyFill="1" applyBorder="1"/>
    <xf numFmtId="0" fontId="0" fillId="10" borderId="30" xfId="0" applyFill="1" applyBorder="1"/>
    <xf numFmtId="4" fontId="0" fillId="10" borderId="4" xfId="0" applyNumberFormat="1" applyFill="1" applyBorder="1" applyAlignment="1">
      <alignment horizontal="center" vertical="center"/>
    </xf>
    <xf numFmtId="0" fontId="0" fillId="11" borderId="31" xfId="0" applyFill="1" applyBorder="1"/>
    <xf numFmtId="4" fontId="0" fillId="11" borderId="15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5" borderId="11" xfId="0" applyFont="1" applyFill="1" applyBorder="1"/>
    <xf numFmtId="0" fontId="0" fillId="9" borderId="28" xfId="0" applyFont="1" applyFill="1" applyBorder="1"/>
    <xf numFmtId="0" fontId="0" fillId="9" borderId="28" xfId="0" applyFont="1" applyFill="1" applyBorder="1" applyAlignment="1">
      <alignment horizontal="center"/>
    </xf>
    <xf numFmtId="0" fontId="0" fillId="9" borderId="32" xfId="0" applyFont="1" applyFill="1" applyBorder="1"/>
    <xf numFmtId="0" fontId="0" fillId="0" borderId="30" xfId="0" applyFont="1" applyBorder="1"/>
    <xf numFmtId="0" fontId="0" fillId="0" borderId="37" xfId="0" applyFont="1" applyFill="1" applyBorder="1"/>
    <xf numFmtId="164" fontId="0" fillId="0" borderId="38" xfId="0" applyNumberFormat="1" applyFont="1" applyBorder="1"/>
    <xf numFmtId="164" fontId="0" fillId="0" borderId="39" xfId="0" applyNumberFormat="1" applyFont="1" applyBorder="1"/>
    <xf numFmtId="9" fontId="0" fillId="6" borderId="39" xfId="0" applyNumberFormat="1" applyFont="1" applyFill="1" applyBorder="1"/>
    <xf numFmtId="164" fontId="0" fillId="6" borderId="39" xfId="0" applyNumberFormat="1" applyFont="1" applyFill="1" applyBorder="1"/>
    <xf numFmtId="164" fontId="0" fillId="0" borderId="15" xfId="0" applyNumberFormat="1" applyFont="1" applyBorder="1"/>
    <xf numFmtId="164" fontId="0" fillId="2" borderId="40" xfId="0" applyNumberFormat="1" applyFont="1" applyFill="1" applyBorder="1"/>
    <xf numFmtId="0" fontId="2" fillId="9" borderId="35" xfId="0" applyFont="1" applyFill="1" applyBorder="1" applyAlignment="1">
      <alignment wrapText="1"/>
    </xf>
    <xf numFmtId="0" fontId="0" fillId="0" borderId="29" xfId="0" applyFont="1" applyBorder="1"/>
    <xf numFmtId="0" fontId="0" fillId="0" borderId="31" xfId="0" applyFont="1" applyBorder="1"/>
    <xf numFmtId="0" fontId="0" fillId="0" borderId="35" xfId="0" applyFont="1" applyBorder="1"/>
    <xf numFmtId="164" fontId="0" fillId="0" borderId="27" xfId="0" applyNumberFormat="1" applyFont="1" applyBorder="1"/>
    <xf numFmtId="164" fontId="0" fillId="0" borderId="28" xfId="0" applyNumberFormat="1" applyFont="1" applyBorder="1"/>
    <xf numFmtId="9" fontId="0" fillId="6" borderId="28" xfId="0" applyNumberFormat="1" applyFont="1" applyFill="1" applyBorder="1"/>
    <xf numFmtId="164" fontId="0" fillId="6" borderId="28" xfId="0" applyNumberFormat="1" applyFont="1" applyFill="1" applyBorder="1"/>
    <xf numFmtId="0" fontId="0" fillId="0" borderId="31" xfId="0" applyFont="1" applyBorder="1" applyAlignment="1">
      <alignment horizontal="left"/>
    </xf>
    <xf numFmtId="164" fontId="0" fillId="6" borderId="38" xfId="0" applyNumberFormat="1" applyFont="1" applyFill="1" applyBorder="1"/>
    <xf numFmtId="0" fontId="0" fillId="0" borderId="6" xfId="0" applyBorder="1"/>
    <xf numFmtId="0" fontId="0" fillId="9" borderId="8" xfId="0" applyFont="1" applyFill="1" applyBorder="1"/>
    <xf numFmtId="0" fontId="0" fillId="9" borderId="9" xfId="0" applyFont="1" applyFill="1" applyBorder="1"/>
    <xf numFmtId="0" fontId="0" fillId="9" borderId="9" xfId="0" applyFont="1" applyFill="1" applyBorder="1" applyAlignment="1">
      <alignment horizontal="center"/>
    </xf>
    <xf numFmtId="0" fontId="0" fillId="9" borderId="10" xfId="0" applyFont="1" applyFill="1" applyBorder="1"/>
    <xf numFmtId="164" fontId="0" fillId="0" borderId="0" xfId="0" applyNumberFormat="1" applyFont="1"/>
    <xf numFmtId="0" fontId="0" fillId="0" borderId="0" xfId="0" applyAlignment="1"/>
    <xf numFmtId="4" fontId="0" fillId="9" borderId="28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42" xfId="0" applyBorder="1"/>
    <xf numFmtId="0" fontId="0" fillId="0" borderId="43" xfId="0" applyBorder="1"/>
    <xf numFmtId="166" fontId="0" fillId="0" borderId="0" xfId="0" applyNumberFormat="1" applyBorder="1" applyAlignment="1">
      <alignment horizontal="center"/>
    </xf>
    <xf numFmtId="4" fontId="0" fillId="7" borderId="12" xfId="0" applyNumberFormat="1" applyFill="1" applyBorder="1" applyAlignment="1">
      <alignment horizontal="center" vertical="center"/>
    </xf>
    <xf numFmtId="9" fontId="0" fillId="6" borderId="4" xfId="0" applyNumberFormat="1" applyFont="1" applyFill="1" applyBorder="1"/>
    <xf numFmtId="164" fontId="0" fillId="6" borderId="4" xfId="0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1" xfId="0" applyBorder="1"/>
    <xf numFmtId="4" fontId="1" fillId="0" borderId="6" xfId="0" applyNumberFormat="1" applyFont="1" applyBorder="1" applyAlignment="1">
      <alignment horizontal="center"/>
    </xf>
    <xf numFmtId="167" fontId="0" fillId="0" borderId="0" xfId="0" applyNumberFormat="1"/>
    <xf numFmtId="4" fontId="0" fillId="11" borderId="15" xfId="0" applyNumberFormat="1" applyFill="1" applyBorder="1" applyAlignment="1">
      <alignment horizontal="center"/>
    </xf>
    <xf numFmtId="0" fontId="0" fillId="0" borderId="0" xfId="0" applyBorder="1"/>
    <xf numFmtId="4" fontId="0" fillId="0" borderId="0" xfId="0" applyNumberFormat="1" applyBorder="1" applyAlignment="1">
      <alignment horizontal="center"/>
    </xf>
    <xf numFmtId="4" fontId="0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1" fillId="0" borderId="26" xfId="0" applyNumberFormat="1" applyFont="1" applyBorder="1" applyAlignment="1">
      <alignment horizontal="center"/>
    </xf>
    <xf numFmtId="4" fontId="1" fillId="0" borderId="33" xfId="0" applyNumberFormat="1" applyFont="1" applyBorder="1"/>
    <xf numFmtId="4" fontId="1" fillId="0" borderId="6" xfId="0" applyNumberFormat="1" applyFont="1" applyBorder="1"/>
    <xf numFmtId="0" fontId="0" fillId="12" borderId="29" xfId="0" applyFill="1" applyBorder="1"/>
    <xf numFmtId="4" fontId="0" fillId="12" borderId="4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10" xfId="0" applyBorder="1"/>
    <xf numFmtId="0" fontId="1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4" fontId="0" fillId="7" borderId="12" xfId="0" applyNumberFormat="1" applyFill="1" applyBorder="1" applyAlignment="1">
      <alignment horizontal="center"/>
    </xf>
    <xf numFmtId="4" fontId="1" fillId="0" borderId="36" xfId="0" applyNumberFormat="1" applyFont="1" applyBorder="1"/>
    <xf numFmtId="0" fontId="0" fillId="0" borderId="51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3" xfId="0" applyBorder="1"/>
    <xf numFmtId="0" fontId="0" fillId="0" borderId="8" xfId="0" applyFill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0" xfId="0" applyNumberForma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4" fontId="0" fillId="0" borderId="44" xfId="0" applyNumberFormat="1" applyBorder="1" applyAlignment="1">
      <alignment horizontal="center"/>
    </xf>
    <xf numFmtId="4" fontId="0" fillId="0" borderId="10" xfId="0" applyNumberFormat="1" applyFont="1" applyBorder="1" applyAlignment="1">
      <alignment horizontal="center"/>
    </xf>
    <xf numFmtId="0" fontId="0" fillId="0" borderId="45" xfId="0" applyBorder="1"/>
    <xf numFmtId="0" fontId="0" fillId="0" borderId="23" xfId="0" applyBorder="1"/>
    <xf numFmtId="0" fontId="0" fillId="0" borderId="19" xfId="0" applyBorder="1"/>
    <xf numFmtId="0" fontId="0" fillId="0" borderId="53" xfId="0" applyBorder="1"/>
    <xf numFmtId="0" fontId="0" fillId="0" borderId="12" xfId="0" applyBorder="1"/>
    <xf numFmtId="0" fontId="1" fillId="0" borderId="4" xfId="0" applyFont="1" applyBorder="1"/>
    <xf numFmtId="0" fontId="0" fillId="0" borderId="4" xfId="0" applyFont="1" applyBorder="1" applyAlignment="1">
      <alignment horizontal="center"/>
    </xf>
    <xf numFmtId="2" fontId="0" fillId="7" borderId="12" xfId="0" applyNumberFormat="1" applyFill="1" applyBorder="1" applyAlignment="1">
      <alignment horizontal="center"/>
    </xf>
    <xf numFmtId="168" fontId="0" fillId="12" borderId="4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44" xfId="0" applyFill="1" applyBorder="1" applyAlignment="1">
      <alignment horizontal="center" vertical="center"/>
    </xf>
    <xf numFmtId="0" fontId="0" fillId="7" borderId="10" xfId="0" applyFill="1" applyBorder="1"/>
    <xf numFmtId="0" fontId="0" fillId="7" borderId="51" xfId="0" applyFill="1" applyBorder="1" applyAlignment="1">
      <alignment horizontal="center"/>
    </xf>
    <xf numFmtId="0" fontId="5" fillId="9" borderId="0" xfId="0" applyFont="1" applyFill="1"/>
    <xf numFmtId="164" fontId="0" fillId="5" borderId="12" xfId="0" applyNumberFormat="1" applyFont="1" applyFill="1" applyBorder="1"/>
    <xf numFmtId="164" fontId="0" fillId="5" borderId="36" xfId="0" applyNumberFormat="1" applyFont="1" applyFill="1" applyBorder="1"/>
    <xf numFmtId="164" fontId="0" fillId="5" borderId="40" xfId="0" applyNumberFormat="1" applyFont="1" applyFill="1" applyBorder="1"/>
    <xf numFmtId="0" fontId="0" fillId="5" borderId="9" xfId="0" applyFont="1" applyFill="1" applyBorder="1"/>
    <xf numFmtId="164" fontId="0" fillId="5" borderId="28" xfId="0" applyNumberFormat="1" applyFont="1" applyFill="1" applyBorder="1"/>
    <xf numFmtId="164" fontId="0" fillId="5" borderId="7" xfId="0" applyNumberFormat="1" applyFont="1" applyFill="1" applyBorder="1"/>
    <xf numFmtId="164" fontId="0" fillId="2" borderId="38" xfId="0" applyNumberFormat="1" applyFont="1" applyFill="1" applyBorder="1"/>
    <xf numFmtId="164" fontId="0" fillId="5" borderId="32" xfId="0" applyNumberFormat="1" applyFont="1" applyFill="1" applyBorder="1"/>
    <xf numFmtId="164" fontId="0" fillId="5" borderId="34" xfId="0" applyNumberFormat="1" applyFont="1" applyFill="1" applyBorder="1"/>
    <xf numFmtId="0" fontId="0" fillId="5" borderId="35" xfId="0" applyFill="1" applyBorder="1"/>
    <xf numFmtId="4" fontId="0" fillId="5" borderId="32" xfId="0" applyNumberFormat="1" applyFill="1" applyBorder="1" applyAlignment="1">
      <alignment horizontal="center" vertical="center"/>
    </xf>
    <xf numFmtId="0" fontId="0" fillId="5" borderId="35" xfId="0" applyFill="1" applyBorder="1" applyAlignment="1">
      <alignment horizontal="center"/>
    </xf>
    <xf numFmtId="4" fontId="0" fillId="5" borderId="48" xfId="0" applyNumberFormat="1" applyFill="1" applyBorder="1"/>
    <xf numFmtId="0" fontId="0" fillId="5" borderId="29" xfId="0" applyFill="1" applyBorder="1"/>
    <xf numFmtId="4" fontId="0" fillId="5" borderId="36" xfId="0" applyNumberFormat="1" applyFill="1" applyBorder="1" applyAlignment="1">
      <alignment horizontal="center" vertical="center"/>
    </xf>
    <xf numFmtId="0" fontId="0" fillId="5" borderId="30" xfId="0" applyFill="1" applyBorder="1" applyAlignment="1">
      <alignment horizontal="center"/>
    </xf>
    <xf numFmtId="4" fontId="0" fillId="5" borderId="49" xfId="0" applyNumberFormat="1" applyFill="1" applyBorder="1"/>
    <xf numFmtId="0" fontId="0" fillId="5" borderId="30" xfId="0" applyFill="1" applyBorder="1"/>
    <xf numFmtId="4" fontId="0" fillId="5" borderId="33" xfId="0" applyNumberFormat="1" applyFill="1" applyBorder="1" applyAlignment="1">
      <alignment horizontal="center" vertical="center"/>
    </xf>
    <xf numFmtId="0" fontId="0" fillId="5" borderId="31" xfId="0" applyFill="1" applyBorder="1"/>
    <xf numFmtId="4" fontId="0" fillId="5" borderId="34" xfId="0" applyNumberFormat="1" applyFill="1" applyBorder="1" applyAlignment="1">
      <alignment horizontal="center" vertical="center"/>
    </xf>
    <xf numFmtId="4" fontId="0" fillId="5" borderId="41" xfId="0" applyNumberFormat="1" applyFill="1" applyBorder="1"/>
    <xf numFmtId="0" fontId="0" fillId="5" borderId="42" xfId="0" applyFill="1" applyBorder="1"/>
    <xf numFmtId="4" fontId="0" fillId="5" borderId="44" xfId="0" applyNumberFormat="1" applyFill="1" applyBorder="1" applyAlignment="1">
      <alignment horizontal="center"/>
    </xf>
    <xf numFmtId="0" fontId="0" fillId="5" borderId="34" xfId="0" applyFill="1" applyBorder="1"/>
    <xf numFmtId="4" fontId="0" fillId="5" borderId="6" xfId="0" applyNumberFormat="1" applyFill="1" applyBorder="1"/>
    <xf numFmtId="0" fontId="0" fillId="5" borderId="1" xfId="0" applyFill="1" applyBorder="1"/>
    <xf numFmtId="2" fontId="0" fillId="5" borderId="44" xfId="0" applyNumberForma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4" fontId="0" fillId="5" borderId="12" xfId="0" applyNumberFormat="1" applyFill="1" applyBorder="1" applyAlignment="1">
      <alignment horizontal="center" vertical="center"/>
    </xf>
    <xf numFmtId="0" fontId="0" fillId="5" borderId="52" xfId="0" applyFill="1" applyBorder="1" applyAlignment="1">
      <alignment horizontal="center"/>
    </xf>
    <xf numFmtId="0" fontId="0" fillId="5" borderId="41" xfId="0" applyFill="1" applyBorder="1"/>
    <xf numFmtId="0" fontId="0" fillId="5" borderId="29" xfId="0" applyFill="1" applyBorder="1" applyAlignment="1">
      <alignment horizontal="center"/>
    </xf>
    <xf numFmtId="0" fontId="0" fillId="5" borderId="36" xfId="0" applyFill="1" applyBorder="1"/>
    <xf numFmtId="4" fontId="0" fillId="5" borderId="4" xfId="0" applyNumberFormat="1" applyFill="1" applyBorder="1" applyAlignment="1">
      <alignment horizontal="center" vertical="center"/>
    </xf>
    <xf numFmtId="0" fontId="0" fillId="5" borderId="33" xfId="0" applyFill="1" applyBorder="1"/>
    <xf numFmtId="4" fontId="0" fillId="5" borderId="15" xfId="0" applyNumberFormat="1" applyFill="1" applyBorder="1" applyAlignment="1">
      <alignment horizontal="center" vertical="center"/>
    </xf>
    <xf numFmtId="0" fontId="0" fillId="5" borderId="44" xfId="0" applyFill="1" applyBorder="1"/>
    <xf numFmtId="0" fontId="0" fillId="5" borderId="43" xfId="0" applyFill="1" applyBorder="1"/>
    <xf numFmtId="0" fontId="0" fillId="5" borderId="6" xfId="0" applyFill="1" applyBorder="1"/>
    <xf numFmtId="0" fontId="0" fillId="5" borderId="25" xfId="0" applyFill="1" applyBorder="1" applyAlignment="1">
      <alignment horizontal="center"/>
    </xf>
    <xf numFmtId="4" fontId="0" fillId="5" borderId="36" xfId="0" applyNumberFormat="1" applyFill="1" applyBorder="1"/>
    <xf numFmtId="0" fontId="0" fillId="5" borderId="5" xfId="0" applyFill="1" applyBorder="1" applyAlignment="1">
      <alignment horizontal="center"/>
    </xf>
    <xf numFmtId="4" fontId="0" fillId="5" borderId="33" xfId="0" applyNumberFormat="1" applyFill="1" applyBorder="1"/>
    <xf numFmtId="4" fontId="0" fillId="5" borderId="54" xfId="0" applyNumberFormat="1" applyFill="1" applyBorder="1"/>
    <xf numFmtId="165" fontId="0" fillId="5" borderId="9" xfId="0" applyNumberFormat="1" applyFill="1" applyBorder="1" applyAlignment="1">
      <alignment horizontal="center"/>
    </xf>
    <xf numFmtId="0" fontId="0" fillId="5" borderId="47" xfId="0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4" fontId="0" fillId="5" borderId="12" xfId="0" applyNumberFormat="1" applyFill="1" applyBorder="1"/>
    <xf numFmtId="4" fontId="0" fillId="5" borderId="4" xfId="0" applyNumberFormat="1" applyFill="1" applyBorder="1"/>
    <xf numFmtId="4" fontId="0" fillId="5" borderId="7" xfId="0" applyNumberFormat="1" applyFill="1" applyBorder="1"/>
    <xf numFmtId="4" fontId="0" fillId="13" borderId="12" xfId="0" applyNumberFormat="1" applyFill="1" applyBorder="1" applyAlignment="1">
      <alignment horizontal="center"/>
    </xf>
    <xf numFmtId="4" fontId="1" fillId="13" borderId="36" xfId="0" applyNumberFormat="1" applyFont="1" applyFill="1" applyBorder="1" applyAlignment="1">
      <alignment horizontal="center"/>
    </xf>
    <xf numFmtId="4" fontId="0" fillId="13" borderId="4" xfId="0" applyNumberFormat="1" applyFill="1" applyBorder="1" applyAlignment="1">
      <alignment horizontal="center"/>
    </xf>
    <xf numFmtId="4" fontId="0" fillId="13" borderId="15" xfId="0" applyNumberForma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4" borderId="2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3" fillId="8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Font="1" applyAlignment="1"/>
    <xf numFmtId="0" fontId="0" fillId="0" borderId="0" xfId="0" applyAlignment="1"/>
    <xf numFmtId="0" fontId="6" fillId="0" borderId="5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8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top" wrapText="1"/>
    </xf>
    <xf numFmtId="0" fontId="6" fillId="5" borderId="3" xfId="0" applyFont="1" applyFill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6" borderId="20" xfId="0" applyNumberFormat="1" applyFont="1" applyFill="1" applyBorder="1" applyAlignment="1"/>
    <xf numFmtId="0" fontId="0" fillId="6" borderId="21" xfId="0" applyFill="1" applyBorder="1" applyAlignment="1"/>
    <xf numFmtId="0" fontId="0" fillId="6" borderId="14" xfId="0" applyFill="1" applyBorder="1" applyAlignment="1"/>
    <xf numFmtId="0" fontId="0" fillId="6" borderId="22" xfId="0" applyFill="1" applyBorder="1" applyAlignment="1"/>
    <xf numFmtId="0" fontId="0" fillId="6" borderId="0" xfId="0" applyFill="1" applyAlignment="1"/>
    <xf numFmtId="0" fontId="0" fillId="6" borderId="13" xfId="0" applyFill="1" applyBorder="1" applyAlignment="1"/>
    <xf numFmtId="0" fontId="0" fillId="6" borderId="23" xfId="0" applyFill="1" applyBorder="1" applyAlignment="1"/>
    <xf numFmtId="0" fontId="0" fillId="6" borderId="24" xfId="0" applyFill="1" applyBorder="1" applyAlignment="1"/>
    <xf numFmtId="0" fontId="0" fillId="6" borderId="25" xfId="0" applyFill="1" applyBorder="1" applyAlignment="1"/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2</xdr:row>
      <xdr:rowOff>47625</xdr:rowOff>
    </xdr:from>
    <xdr:to>
      <xdr:col>8</xdr:col>
      <xdr:colOff>246888</xdr:colOff>
      <xdr:row>9</xdr:row>
      <xdr:rowOff>27813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428625"/>
          <a:ext cx="1008888" cy="1313688"/>
        </a:xfrm>
        <a:prstGeom prst="rect">
          <a:avLst/>
        </a:prstGeom>
      </xdr:spPr>
    </xdr:pic>
    <xdr:clientData/>
  </xdr:twoCellAnchor>
  <xdr:oneCellAnchor>
    <xdr:from>
      <xdr:col>3</xdr:col>
      <xdr:colOff>27320</xdr:colOff>
      <xdr:row>17</xdr:row>
      <xdr:rowOff>26485</xdr:rowOff>
    </xdr:from>
    <xdr:ext cx="6050888" cy="2628220"/>
    <xdr:sp macro="" textlink="">
      <xdr:nvSpPr>
        <xdr:cNvPr id="3" name="Rettangolo 2"/>
        <xdr:cNvSpPr/>
      </xdr:nvSpPr>
      <xdr:spPr>
        <a:xfrm>
          <a:off x="1856120" y="3264985"/>
          <a:ext cx="6050888" cy="262822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TARI 2019</a:t>
          </a:r>
        </a:p>
        <a:p>
          <a:pPr algn="ctr"/>
          <a:endParaRPr lang="it-IT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r>
            <a:rPr lang="it-IT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PIANO</a:t>
          </a:r>
          <a:r>
            <a:rPr lang="it-IT" sz="5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FINANZIARIO</a:t>
          </a:r>
          <a:endParaRPr lang="it-IT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oneCellAnchor>
    <xdr:from>
      <xdr:col>5</xdr:col>
      <xdr:colOff>371475</xdr:colOff>
      <xdr:row>9</xdr:row>
      <xdr:rowOff>150311</xdr:rowOff>
    </xdr:from>
    <xdr:ext cx="2552700" cy="405432"/>
    <xdr:sp macro="" textlink="">
      <xdr:nvSpPr>
        <xdr:cNvPr id="4" name="Rettangolo 3"/>
        <xdr:cNvSpPr/>
      </xdr:nvSpPr>
      <xdr:spPr>
        <a:xfrm>
          <a:off x="3419475" y="1864811"/>
          <a:ext cx="2552700" cy="40543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t-IT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Comune</a:t>
          </a:r>
          <a:r>
            <a:rPr lang="it-IT" sz="20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di Sarroch</a:t>
          </a:r>
          <a:endParaRPr lang="it-IT" sz="2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4" workbookViewId="0">
      <selection activeCell="U14" sqref="U14"/>
    </sheetView>
  </sheetViews>
  <sheetFormatPr defaultRowHeight="14.4" x14ac:dyDescent="0.3"/>
  <sheetData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74"/>
  <sheetViews>
    <sheetView topLeftCell="I28" zoomScaleNormal="100" workbookViewId="0">
      <selection activeCell="N46" sqref="N46"/>
    </sheetView>
  </sheetViews>
  <sheetFormatPr defaultRowHeight="14.4" x14ac:dyDescent="0.3"/>
  <cols>
    <col min="1" max="1" width="4.44140625" customWidth="1"/>
    <col min="2" max="2" width="65.6640625" customWidth="1"/>
    <col min="3" max="3" width="16" customWidth="1"/>
    <col min="4" max="4" width="15.6640625" bestFit="1" customWidth="1"/>
    <col min="5" max="5" width="14.6640625" customWidth="1"/>
    <col min="6" max="6" width="16" customWidth="1"/>
    <col min="7" max="7" width="6" customWidth="1"/>
    <col min="8" max="8" width="17" customWidth="1"/>
    <col min="9" max="12" width="14.6640625" customWidth="1"/>
    <col min="13" max="13" width="17" customWidth="1"/>
    <col min="14" max="14" width="2.6640625" customWidth="1"/>
    <col min="15" max="15" width="12.44140625" customWidth="1"/>
    <col min="16" max="16" width="3.33203125" customWidth="1"/>
    <col min="17" max="17" width="5.5546875" customWidth="1"/>
    <col min="18" max="18" width="29.109375" customWidth="1"/>
    <col min="19" max="19" width="27.88671875" customWidth="1"/>
    <col min="20" max="20" width="21.88671875" customWidth="1"/>
    <col min="21" max="21" width="24" customWidth="1"/>
    <col min="22" max="22" width="21.5546875" customWidth="1"/>
    <col min="23" max="23" width="18.6640625" bestFit="1" customWidth="1"/>
    <col min="25" max="25" width="11.6640625" customWidth="1"/>
    <col min="26" max="27" width="13.109375" bestFit="1" customWidth="1"/>
  </cols>
  <sheetData>
    <row r="1" spans="1:28" ht="15" thickBot="1" x14ac:dyDescent="0.35"/>
    <row r="2" spans="1:28" ht="30.75" customHeight="1" thickBot="1" x14ac:dyDescent="0.55000000000000004">
      <c r="B2" s="255" t="s">
        <v>35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7"/>
      <c r="N2" s="258"/>
      <c r="O2" s="259"/>
    </row>
    <row r="3" spans="1:28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U3" s="99"/>
      <c r="V3">
        <f>U3*1.1</f>
        <v>0</v>
      </c>
      <c r="W3">
        <f>1.1*V3</f>
        <v>0</v>
      </c>
    </row>
    <row r="4" spans="1:28" ht="21.6" thickBot="1" x14ac:dyDescent="0.45">
      <c r="B4" s="7"/>
      <c r="C4" s="7"/>
      <c r="D4" s="7"/>
      <c r="E4" s="7"/>
      <c r="F4" s="198"/>
      <c r="G4" s="7"/>
      <c r="H4" s="7"/>
      <c r="I4" s="7"/>
      <c r="J4" s="7"/>
      <c r="K4" s="7"/>
      <c r="L4" s="7"/>
      <c r="M4" s="7"/>
    </row>
    <row r="5" spans="1:28" ht="34.5" customHeight="1" thickBot="1" x14ac:dyDescent="0.35">
      <c r="B5" s="7"/>
      <c r="C5" s="65" t="s">
        <v>15</v>
      </c>
      <c r="D5" s="65" t="s">
        <v>8</v>
      </c>
      <c r="E5" s="65" t="s">
        <v>14</v>
      </c>
      <c r="F5" s="260" t="s">
        <v>9</v>
      </c>
      <c r="G5" s="261"/>
      <c r="H5" s="262"/>
      <c r="I5" s="65" t="s">
        <v>10</v>
      </c>
      <c r="J5" s="65" t="s">
        <v>11</v>
      </c>
      <c r="K5" s="65" t="s">
        <v>12</v>
      </c>
      <c r="L5" s="65" t="s">
        <v>13</v>
      </c>
      <c r="M5" s="65" t="s">
        <v>17</v>
      </c>
    </row>
    <row r="6" spans="1:28" ht="15" customHeight="1" thickBot="1" x14ac:dyDescent="0.35">
      <c r="B6" s="83" t="s">
        <v>6</v>
      </c>
      <c r="C6" s="84"/>
      <c r="D6" s="84"/>
      <c r="E6" s="84"/>
      <c r="F6" s="85"/>
      <c r="G6" s="85"/>
      <c r="H6" s="85"/>
      <c r="I6" s="84"/>
      <c r="J6" s="84"/>
      <c r="K6" s="84"/>
      <c r="L6" s="84"/>
      <c r="M6" s="86"/>
      <c r="R6" s="100" t="s">
        <v>140</v>
      </c>
      <c r="S6" s="169" t="s">
        <v>135</v>
      </c>
      <c r="T6" s="166" t="s">
        <v>137</v>
      </c>
      <c r="U6" s="166" t="s">
        <v>138</v>
      </c>
      <c r="V6" s="166" t="s">
        <v>175</v>
      </c>
      <c r="W6" s="170" t="s">
        <v>139</v>
      </c>
      <c r="X6" s="172" t="s">
        <v>173</v>
      </c>
      <c r="Y6" s="171"/>
    </row>
    <row r="7" spans="1:28" ht="15" customHeight="1" x14ac:dyDescent="0.3">
      <c r="B7" s="120"/>
      <c r="C7" s="137"/>
      <c r="D7" s="109"/>
      <c r="E7" s="109"/>
      <c r="F7" s="110" t="s">
        <v>147</v>
      </c>
      <c r="G7" s="110" t="s">
        <v>117</v>
      </c>
      <c r="H7" s="110" t="s">
        <v>121</v>
      </c>
      <c r="I7" s="109"/>
      <c r="J7" s="109"/>
      <c r="K7" s="109"/>
      <c r="L7" s="109"/>
      <c r="M7" s="111"/>
      <c r="R7" s="102" t="s">
        <v>164</v>
      </c>
      <c r="S7" s="142">
        <f>809.67*1.01687</f>
        <v>823.32913289999988</v>
      </c>
      <c r="T7" s="187">
        <f>228.5*1.01687</f>
        <v>232.354795</v>
      </c>
      <c r="U7" s="167">
        <f>731.91*1.01687</f>
        <v>744.25732169999992</v>
      </c>
      <c r="V7" s="251">
        <v>13153.3</v>
      </c>
      <c r="W7" s="252">
        <f>+V7+U7+T7+S7</f>
        <v>14953.241249599998</v>
      </c>
      <c r="X7" s="173">
        <v>1.1000000000000001</v>
      </c>
      <c r="Y7" s="168">
        <f>W7*X7</f>
        <v>16448.565374559999</v>
      </c>
      <c r="AA7" s="99">
        <f>+V7+U7+T7+S7</f>
        <v>14953.241249599998</v>
      </c>
    </row>
    <row r="8" spans="1:28" x14ac:dyDescent="0.3">
      <c r="A8" t="s">
        <v>165</v>
      </c>
      <c r="B8" s="121" t="s">
        <v>92</v>
      </c>
      <c r="C8" s="11">
        <f>Y10</f>
        <v>3861.5515565000001</v>
      </c>
      <c r="D8" s="11"/>
      <c r="E8" s="11">
        <f>Y8</f>
        <v>19248.779270270003</v>
      </c>
      <c r="F8" s="199">
        <f>+Y9</f>
        <v>101234.14677684</v>
      </c>
      <c r="G8" s="90">
        <v>0.5</v>
      </c>
      <c r="H8" s="89">
        <f>+F8*G8</f>
        <v>50617.073388420002</v>
      </c>
      <c r="I8" s="11"/>
      <c r="J8" s="11"/>
      <c r="K8" s="11"/>
      <c r="L8" s="11"/>
      <c r="M8" s="200">
        <f>+C8+D8+E8+H8+I8+J8+K8+L8</f>
        <v>73727.404215190007</v>
      </c>
      <c r="O8" s="145"/>
      <c r="R8" s="158" t="s">
        <v>163</v>
      </c>
      <c r="S8" s="159">
        <f>2569.37*1.01687</f>
        <v>2612.7152718999996</v>
      </c>
      <c r="T8" s="188">
        <f>238.98*1.01687</f>
        <v>243.01159259999997</v>
      </c>
      <c r="U8" s="167">
        <f>888.76*1.01687</f>
        <v>903.75338119999992</v>
      </c>
      <c r="V8" s="253">
        <v>13739.41</v>
      </c>
      <c r="W8" s="252">
        <f>+V8+U8+T8+S8</f>
        <v>17498.8902457</v>
      </c>
      <c r="X8" s="141">
        <v>1.1000000000000001</v>
      </c>
      <c r="Y8" s="156">
        <f>W8*X8</f>
        <v>19248.779270270003</v>
      </c>
      <c r="AA8" s="99">
        <f>+V8+U8+T8+S8</f>
        <v>17498.8902457</v>
      </c>
    </row>
    <row r="9" spans="1:28" x14ac:dyDescent="0.3">
      <c r="A9" t="s">
        <v>165</v>
      </c>
      <c r="B9" s="112" t="s">
        <v>73</v>
      </c>
      <c r="C9" s="13">
        <v>17679.080000000002</v>
      </c>
      <c r="D9" s="13"/>
      <c r="E9" s="13">
        <v>24070.959999999999</v>
      </c>
      <c r="F9" s="16">
        <f>+U17</f>
        <v>133310.39506432999</v>
      </c>
      <c r="G9" s="88">
        <v>0.5</v>
      </c>
      <c r="H9" s="89">
        <f t="shared" ref="H9:H11" si="0">+F9*G9</f>
        <v>66655.197532164995</v>
      </c>
      <c r="I9" s="13"/>
      <c r="J9" s="13"/>
      <c r="K9" s="13"/>
      <c r="L9" s="13"/>
      <c r="M9" s="200">
        <f t="shared" ref="M9:M11" si="1">+C9+D9+E9+H9+I9+J9+K9+L9</f>
        <v>108405.23753216499</v>
      </c>
      <c r="O9" s="145"/>
      <c r="R9" s="103" t="s">
        <v>86</v>
      </c>
      <c r="S9" s="104">
        <f>36100.77*1.01687</f>
        <v>36709.789989899997</v>
      </c>
      <c r="T9" s="189">
        <f>627.06*1.01687</f>
        <v>637.63850219999995</v>
      </c>
      <c r="U9" s="167">
        <f>6422.29*1.01687</f>
        <v>6530.6340322999995</v>
      </c>
      <c r="V9" s="253">
        <v>48152.98</v>
      </c>
      <c r="W9" s="252">
        <f t="shared" ref="W9:W10" si="2">+V9+U9+T9+S9</f>
        <v>92031.042524399993</v>
      </c>
      <c r="X9" s="174">
        <v>1.1000000000000001</v>
      </c>
      <c r="Y9" s="156">
        <f t="shared" ref="Y9:Y10" si="3">W9*X9</f>
        <v>101234.14677684</v>
      </c>
      <c r="AA9" s="99">
        <f>+V9+U9+T9+S9</f>
        <v>92031.042524399993</v>
      </c>
    </row>
    <row r="10" spans="1:28" ht="15" thickBot="1" x14ac:dyDescent="0.35">
      <c r="A10" t="s">
        <v>165</v>
      </c>
      <c r="B10" s="112" t="s">
        <v>74</v>
      </c>
      <c r="C10" s="13"/>
      <c r="D10" s="13">
        <v>210899.63</v>
      </c>
      <c r="E10" s="13"/>
      <c r="F10" s="13"/>
      <c r="G10" s="88">
        <f t="shared" ref="G10:G11" si="4">+G$8</f>
        <v>0.5</v>
      </c>
      <c r="H10" s="89">
        <f t="shared" si="0"/>
        <v>0</v>
      </c>
      <c r="I10" s="13"/>
      <c r="J10" s="13"/>
      <c r="K10" s="13"/>
      <c r="L10" s="13"/>
      <c r="M10" s="200">
        <f t="shared" si="1"/>
        <v>210899.63</v>
      </c>
      <c r="O10" s="145"/>
      <c r="R10" s="105" t="s">
        <v>136</v>
      </c>
      <c r="S10" s="106">
        <f>654.5*1.01687</f>
        <v>665.54141499999992</v>
      </c>
      <c r="T10" s="106">
        <v>0</v>
      </c>
      <c r="U10" s="150">
        <v>0</v>
      </c>
      <c r="V10" s="254">
        <v>2844.96</v>
      </c>
      <c r="W10" s="252">
        <f t="shared" si="2"/>
        <v>3510.5014149999997</v>
      </c>
      <c r="X10" s="175">
        <v>1.1000000000000001</v>
      </c>
      <c r="Y10" s="156">
        <f t="shared" si="3"/>
        <v>3861.5515565000001</v>
      </c>
      <c r="AA10" s="99"/>
    </row>
    <row r="11" spans="1:28" ht="21" customHeight="1" thickBot="1" x14ac:dyDescent="0.35">
      <c r="A11" t="s">
        <v>184</v>
      </c>
      <c r="B11" s="122" t="s">
        <v>71</v>
      </c>
      <c r="C11" s="118">
        <v>0</v>
      </c>
      <c r="D11" s="118">
        <v>9402</v>
      </c>
      <c r="E11" s="118"/>
      <c r="F11" s="118"/>
      <c r="G11" s="116">
        <f t="shared" si="4"/>
        <v>0.5</v>
      </c>
      <c r="H11" s="117">
        <f t="shared" si="0"/>
        <v>0</v>
      </c>
      <c r="I11" s="118"/>
      <c r="J11" s="118"/>
      <c r="K11" s="118"/>
      <c r="L11" s="118"/>
      <c r="M11" s="201">
        <f t="shared" si="1"/>
        <v>9402</v>
      </c>
      <c r="O11" s="146"/>
      <c r="R11" s="139"/>
      <c r="S11" s="178">
        <f>SUM(S7:S10)</f>
        <v>40811.375809699995</v>
      </c>
      <c r="T11" s="178">
        <f>SUM(T7:T10)</f>
        <v>1113.0048898</v>
      </c>
      <c r="U11" s="178">
        <f>SUM(U7:U10)</f>
        <v>8178.6447351999996</v>
      </c>
      <c r="V11" s="179">
        <f>+V7+V8+V9+V10</f>
        <v>77890.650000000009</v>
      </c>
      <c r="W11" s="155">
        <f>SUM(S11:V11)</f>
        <v>127993.67543470001</v>
      </c>
      <c r="X11" s="140"/>
      <c r="Y11" s="157">
        <f>SUM(Y7:Y10)</f>
        <v>140793.04297817001</v>
      </c>
    </row>
    <row r="12" spans="1:28" ht="15" thickBot="1" x14ac:dyDescent="0.35">
      <c r="B12" s="71" t="s">
        <v>30</v>
      </c>
      <c r="C12" s="66">
        <f t="shared" ref="C12:M12" si="5">SUM(C8:C11)</f>
        <v>21540.6315565</v>
      </c>
      <c r="D12" s="67">
        <f t="shared" si="5"/>
        <v>220301.63</v>
      </c>
      <c r="E12" s="67">
        <f t="shared" si="5"/>
        <v>43319.739270270002</v>
      </c>
      <c r="F12" s="67">
        <f>SUM(F8:F11)</f>
        <v>234544.54184116999</v>
      </c>
      <c r="G12" s="67"/>
      <c r="H12" s="67">
        <f>SUM(H8:H11)</f>
        <v>117272.270920585</v>
      </c>
      <c r="I12" s="67">
        <f t="shared" si="5"/>
        <v>0</v>
      </c>
      <c r="J12" s="67">
        <f t="shared" si="5"/>
        <v>0</v>
      </c>
      <c r="K12" s="67">
        <f t="shared" si="5"/>
        <v>0</v>
      </c>
      <c r="L12" s="67">
        <f t="shared" si="5"/>
        <v>0</v>
      </c>
      <c r="M12" s="68">
        <f t="shared" si="5"/>
        <v>402434.271747355</v>
      </c>
      <c r="O12" s="146"/>
      <c r="R12" s="151"/>
      <c r="S12" s="152"/>
      <c r="T12" s="152"/>
      <c r="U12" s="152"/>
      <c r="V12" s="153"/>
      <c r="W12" s="154"/>
      <c r="X12" s="151"/>
      <c r="Y12" s="154"/>
      <c r="AA12" s="99"/>
    </row>
    <row r="13" spans="1:28" ht="15" thickBot="1" x14ac:dyDescent="0.3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O13" s="146"/>
      <c r="V13" s="99"/>
      <c r="Y13" s="99"/>
      <c r="AB13">
        <v>70229.27</v>
      </c>
    </row>
    <row r="14" spans="1:28" ht="16.2" thickBot="1" x14ac:dyDescent="0.35">
      <c r="B14" s="108" t="s">
        <v>7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6"/>
      <c r="O14" s="146"/>
      <c r="R14" s="161" t="s">
        <v>141</v>
      </c>
      <c r="S14" s="162" t="s">
        <v>142</v>
      </c>
      <c r="T14" s="163" t="s">
        <v>173</v>
      </c>
      <c r="U14" s="164"/>
      <c r="W14" s="101">
        <f>+V11*1.1</f>
        <v>85679.715000000011</v>
      </c>
      <c r="AA14" s="99"/>
      <c r="AB14" s="99">
        <f>+AB13-S9-T9-U9</f>
        <v>26351.207475600004</v>
      </c>
    </row>
    <row r="15" spans="1:28" x14ac:dyDescent="0.3">
      <c r="B15" s="87" t="s">
        <v>75</v>
      </c>
      <c r="C15" s="109"/>
      <c r="D15" s="109"/>
      <c r="E15" s="109"/>
      <c r="F15" s="110" t="s">
        <v>119</v>
      </c>
      <c r="G15" s="110" t="s">
        <v>117</v>
      </c>
      <c r="H15" s="110" t="s">
        <v>118</v>
      </c>
      <c r="I15" s="109"/>
      <c r="J15" s="109"/>
      <c r="K15" s="109"/>
      <c r="L15" s="109"/>
      <c r="M15" s="111"/>
      <c r="O15" s="146"/>
      <c r="R15" s="208" t="s">
        <v>166</v>
      </c>
      <c r="S15" s="209">
        <f>16808.95*1.01687</f>
        <v>17092.516986499999</v>
      </c>
      <c r="T15" s="210">
        <v>1.1000000000000001</v>
      </c>
      <c r="U15" s="211">
        <f>S15*T15</f>
        <v>18801.76868515</v>
      </c>
    </row>
    <row r="16" spans="1:28" x14ac:dyDescent="0.3">
      <c r="A16" t="s">
        <v>165</v>
      </c>
      <c r="B16" s="112" t="s">
        <v>0</v>
      </c>
      <c r="C16" s="11">
        <f>U38</f>
        <v>36735.291055760004</v>
      </c>
      <c r="D16" s="11"/>
      <c r="E16" s="11">
        <f>U36</f>
        <v>21287.202339150001</v>
      </c>
      <c r="F16" s="11">
        <f>U37</f>
        <v>109251.30780905001</v>
      </c>
      <c r="G16" s="88">
        <f t="shared" ref="G16:G22" si="6">+G$8</f>
        <v>0.5</v>
      </c>
      <c r="H16" s="89">
        <f t="shared" ref="H16:H22" si="7">+F16*G16</f>
        <v>54625.653904525003</v>
      </c>
      <c r="I16" s="11"/>
      <c r="J16" s="11"/>
      <c r="K16" s="11"/>
      <c r="L16" s="11"/>
      <c r="M16" s="200">
        <f t="shared" ref="M16:M22" si="8">+C16+D16+E16+H16+I16+J16+K16+L16</f>
        <v>112648.14729943502</v>
      </c>
      <c r="O16" s="145"/>
      <c r="R16" s="212" t="s">
        <v>163</v>
      </c>
      <c r="S16" s="213">
        <f>22952.32*1.01687</f>
        <v>23339.525638399999</v>
      </c>
      <c r="T16" s="214">
        <v>1.1000000000000001</v>
      </c>
      <c r="U16" s="215">
        <f>S16*T16</f>
        <v>25673.47820224</v>
      </c>
      <c r="Z16" s="37"/>
      <c r="AA16" s="37"/>
    </row>
    <row r="17" spans="1:27" x14ac:dyDescent="0.3">
      <c r="A17" t="s">
        <v>165</v>
      </c>
      <c r="B17" s="112" t="s">
        <v>1</v>
      </c>
      <c r="C17" s="13">
        <f>U45</f>
        <v>10916.92616531</v>
      </c>
      <c r="D17" s="13"/>
      <c r="E17" s="13">
        <f>U43</f>
        <v>12666.41642673</v>
      </c>
      <c r="F17" s="13">
        <f>U44</f>
        <v>67737.932744239995</v>
      </c>
      <c r="G17" s="88">
        <f t="shared" si="6"/>
        <v>0.5</v>
      </c>
      <c r="H17" s="89">
        <f t="shared" si="7"/>
        <v>33868.966372119998</v>
      </c>
      <c r="I17" s="13"/>
      <c r="J17" s="13"/>
      <c r="K17" s="13"/>
      <c r="L17" s="13"/>
      <c r="M17" s="200">
        <f t="shared" si="8"/>
        <v>57452.308964159995</v>
      </c>
      <c r="O17" s="145"/>
      <c r="R17" s="216" t="s">
        <v>86</v>
      </c>
      <c r="S17" s="217">
        <f>119180.69*1.01687</f>
        <v>121191.26824029999</v>
      </c>
      <c r="T17" s="214">
        <v>1.1000000000000001</v>
      </c>
      <c r="U17" s="215">
        <f t="shared" ref="U17:U18" si="9">S17*T17</f>
        <v>133310.39506432999</v>
      </c>
      <c r="X17" s="99"/>
      <c r="Y17" s="99"/>
      <c r="AA17" s="37"/>
    </row>
    <row r="18" spans="1:27" ht="15" thickBot="1" x14ac:dyDescent="0.35">
      <c r="A18" t="s">
        <v>165</v>
      </c>
      <c r="B18" s="112" t="s">
        <v>2</v>
      </c>
      <c r="C18" s="13">
        <f>U59</f>
        <v>8442.5662256099986</v>
      </c>
      <c r="D18" s="13"/>
      <c r="E18" s="13">
        <f>U57</f>
        <v>6904.2371546500008</v>
      </c>
      <c r="F18" s="13">
        <f>U58</f>
        <v>41707.288106330001</v>
      </c>
      <c r="G18" s="88">
        <f t="shared" si="6"/>
        <v>0.5</v>
      </c>
      <c r="H18" s="89">
        <f t="shared" si="7"/>
        <v>20853.644053165001</v>
      </c>
      <c r="I18" s="13"/>
      <c r="J18" s="13"/>
      <c r="K18" s="13"/>
      <c r="L18" s="13"/>
      <c r="M18" s="200">
        <f t="shared" si="8"/>
        <v>36200.447433424997</v>
      </c>
      <c r="O18" s="145"/>
      <c r="R18" s="218" t="s">
        <v>136</v>
      </c>
      <c r="S18" s="219">
        <f>16857.48*1.01687</f>
        <v>17141.865687599999</v>
      </c>
      <c r="T18" s="214">
        <v>1.1000000000000001</v>
      </c>
      <c r="U18" s="220">
        <f t="shared" si="9"/>
        <v>18856.052256359999</v>
      </c>
      <c r="W18" s="99"/>
      <c r="Z18" s="37"/>
      <c r="AA18" s="99"/>
    </row>
    <row r="19" spans="1:27" ht="15" thickBot="1" x14ac:dyDescent="0.35">
      <c r="A19" t="s">
        <v>165</v>
      </c>
      <c r="B19" s="112" t="s">
        <v>170</v>
      </c>
      <c r="C19" s="13">
        <f>U52</f>
        <v>6077.7242017800008</v>
      </c>
      <c r="D19" s="13"/>
      <c r="E19" s="13">
        <f>U50</f>
        <v>6118.2495218900003</v>
      </c>
      <c r="F19" s="13">
        <f>U51</f>
        <v>30321.899083849999</v>
      </c>
      <c r="G19" s="88">
        <f t="shared" si="6"/>
        <v>0.5</v>
      </c>
      <c r="H19" s="89">
        <f t="shared" si="7"/>
        <v>15160.949541925</v>
      </c>
      <c r="I19" s="13"/>
      <c r="J19" s="13"/>
      <c r="K19" s="13"/>
      <c r="L19" s="13"/>
      <c r="M19" s="200">
        <f t="shared" si="8"/>
        <v>27356.923265595004</v>
      </c>
      <c r="O19" s="145"/>
      <c r="R19" s="221"/>
      <c r="S19" s="222">
        <f>SUM(S15:S18)</f>
        <v>178765.1765528</v>
      </c>
      <c r="T19" s="223"/>
      <c r="U19" s="224">
        <f>SUM(U15:U18)</f>
        <v>196641.69420808001</v>
      </c>
      <c r="X19" s="99"/>
      <c r="AA19">
        <v>85679.72</v>
      </c>
    </row>
    <row r="20" spans="1:27" x14ac:dyDescent="0.3">
      <c r="A20" t="s">
        <v>165</v>
      </c>
      <c r="B20" s="112" t="s">
        <v>4</v>
      </c>
      <c r="C20" s="13">
        <f>U66</f>
        <v>0</v>
      </c>
      <c r="D20" s="13"/>
      <c r="E20" s="13">
        <f>U64</f>
        <v>186.89968913000001</v>
      </c>
      <c r="F20" s="13">
        <f>U65</f>
        <v>338.65431731999996</v>
      </c>
      <c r="G20" s="88">
        <f t="shared" si="6"/>
        <v>0.5</v>
      </c>
      <c r="H20" s="89">
        <f t="shared" si="7"/>
        <v>169.32715865999998</v>
      </c>
      <c r="I20" s="13"/>
      <c r="J20" s="13"/>
      <c r="K20" s="13"/>
      <c r="L20" s="13"/>
      <c r="M20" s="200">
        <f t="shared" si="8"/>
        <v>356.22684778999997</v>
      </c>
      <c r="O20" s="145"/>
      <c r="Z20" s="37"/>
      <c r="AA20">
        <f>+AA19/1.1</f>
        <v>77890.654545454541</v>
      </c>
    </row>
    <row r="21" spans="1:27" ht="15" thickBot="1" x14ac:dyDescent="0.35">
      <c r="A21" t="s">
        <v>165</v>
      </c>
      <c r="B21" s="112" t="s">
        <v>5</v>
      </c>
      <c r="C21" s="13">
        <f>U73</f>
        <v>0</v>
      </c>
      <c r="D21" s="13"/>
      <c r="E21" s="13">
        <f>U71</f>
        <v>2383.9022351099998</v>
      </c>
      <c r="F21" s="13">
        <f>U72</f>
        <v>14198.090083539999</v>
      </c>
      <c r="G21" s="88">
        <f t="shared" si="6"/>
        <v>0.5</v>
      </c>
      <c r="H21" s="89">
        <f t="shared" si="7"/>
        <v>7099.0450417699994</v>
      </c>
      <c r="I21" s="13"/>
      <c r="J21" s="13"/>
      <c r="K21" s="13"/>
      <c r="L21" s="13"/>
      <c r="M21" s="200">
        <f t="shared" si="8"/>
        <v>9482.9472768799988</v>
      </c>
      <c r="O21" s="145"/>
      <c r="S21" s="107"/>
      <c r="T21" s="107"/>
      <c r="AA21" s="99"/>
    </row>
    <row r="22" spans="1:27" ht="15" thickBot="1" x14ac:dyDescent="0.35">
      <c r="B22" s="12" t="s">
        <v>155</v>
      </c>
      <c r="C22" s="13">
        <f>X30</f>
        <v>674.58848501</v>
      </c>
      <c r="D22" s="13"/>
      <c r="E22" s="13">
        <f>X28</f>
        <v>3248.47648807</v>
      </c>
      <c r="F22" s="13">
        <f>X29</f>
        <v>22129.777139690003</v>
      </c>
      <c r="G22" s="143">
        <f t="shared" si="6"/>
        <v>0.5</v>
      </c>
      <c r="H22" s="144">
        <f t="shared" si="7"/>
        <v>11064.888569845001</v>
      </c>
      <c r="I22" s="13"/>
      <c r="J22" s="13"/>
      <c r="K22" s="13"/>
      <c r="L22" s="13"/>
      <c r="M22" s="200">
        <f t="shared" si="8"/>
        <v>14987.953542925001</v>
      </c>
      <c r="O22" s="145"/>
      <c r="R22" s="191" t="s">
        <v>143</v>
      </c>
      <c r="S22" s="192" t="s">
        <v>183</v>
      </c>
      <c r="T22" s="192" t="s">
        <v>144</v>
      </c>
      <c r="U22" s="193" t="s">
        <v>145</v>
      </c>
      <c r="AA22" s="99"/>
    </row>
    <row r="23" spans="1:27" ht="15" thickBot="1" x14ac:dyDescent="0.35">
      <c r="B23" s="113" t="s">
        <v>122</v>
      </c>
      <c r="C23" s="114"/>
      <c r="D23" s="115"/>
      <c r="E23" s="115"/>
      <c r="F23" s="115"/>
      <c r="G23" s="116"/>
      <c r="H23" s="117"/>
      <c r="I23" s="115"/>
      <c r="J23" s="115"/>
      <c r="K23" s="115"/>
      <c r="L23" s="115"/>
      <c r="M23" s="119">
        <f>-L23</f>
        <v>0</v>
      </c>
      <c r="R23" s="225" t="s">
        <v>174</v>
      </c>
      <c r="S23" s="226">
        <v>1166.79</v>
      </c>
      <c r="T23" s="227">
        <v>164.32</v>
      </c>
      <c r="U23" s="224">
        <f>+S23*T23</f>
        <v>191726.93279999998</v>
      </c>
      <c r="AA23" s="99"/>
    </row>
    <row r="24" spans="1:27" ht="15" thickBot="1" x14ac:dyDescent="0.35">
      <c r="B24" s="71" t="s">
        <v>89</v>
      </c>
      <c r="C24" s="66">
        <f>SUM(C15:C22)</f>
        <v>62847.096133470004</v>
      </c>
      <c r="D24" s="67">
        <f>SUM(D15:D22)</f>
        <v>0</v>
      </c>
      <c r="E24" s="67">
        <f>SUM(E15:E22)</f>
        <v>52795.383854730004</v>
      </c>
      <c r="F24" s="67">
        <f>SUM(F15:F22)</f>
        <v>285684.94928402</v>
      </c>
      <c r="G24" s="67"/>
      <c r="H24" s="67">
        <f>SUM(H16:H22)</f>
        <v>142842.47464201</v>
      </c>
      <c r="I24" s="67">
        <f>SUM(I15:I22)</f>
        <v>0</v>
      </c>
      <c r="J24" s="67">
        <f>SUM(J15:J22)</f>
        <v>0</v>
      </c>
      <c r="K24" s="67">
        <f>SUM(K15:K22)</f>
        <v>0</v>
      </c>
      <c r="L24" s="67">
        <f>SUM(L15:L23)</f>
        <v>0</v>
      </c>
      <c r="M24" s="68">
        <f>SUM(M16:M23)</f>
        <v>258484.95463021004</v>
      </c>
      <c r="R24" s="151"/>
      <c r="S24" s="138"/>
      <c r="T24" s="138"/>
      <c r="U24" s="154"/>
      <c r="AA24" s="99"/>
    </row>
    <row r="25" spans="1:27" ht="15" thickBot="1" x14ac:dyDescent="0.35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AA25" s="99"/>
    </row>
    <row r="26" spans="1:27" ht="15" thickBot="1" x14ac:dyDescent="0.35">
      <c r="B26" s="87" t="s">
        <v>88</v>
      </c>
      <c r="C26" s="131"/>
      <c r="D26" s="202"/>
      <c r="E26" s="132"/>
      <c r="F26" s="133" t="s">
        <v>119</v>
      </c>
      <c r="G26" s="133" t="s">
        <v>117</v>
      </c>
      <c r="H26" s="133" t="s">
        <v>118</v>
      </c>
      <c r="I26" s="132"/>
      <c r="J26" s="132"/>
      <c r="K26" s="132"/>
      <c r="L26" s="132"/>
      <c r="M26" s="134"/>
      <c r="O26" s="30" t="s">
        <v>82</v>
      </c>
      <c r="R26" s="191" t="s">
        <v>149</v>
      </c>
      <c r="S26" s="194" t="s">
        <v>146</v>
      </c>
      <c r="T26" s="194" t="s">
        <v>176</v>
      </c>
      <c r="U26" s="194" t="s">
        <v>156</v>
      </c>
      <c r="V26" s="195" t="s">
        <v>139</v>
      </c>
      <c r="W26" s="194" t="s">
        <v>173</v>
      </c>
      <c r="X26" s="196"/>
      <c r="AA26" s="99"/>
    </row>
    <row r="27" spans="1:27" x14ac:dyDescent="0.3">
      <c r="B27" s="123" t="s">
        <v>182</v>
      </c>
      <c r="C27" s="124"/>
      <c r="D27" s="203">
        <v>59838.78</v>
      </c>
      <c r="E27" s="125"/>
      <c r="F27" s="125"/>
      <c r="G27" s="126">
        <f t="shared" ref="G27:G45" si="10">+G$8</f>
        <v>0.5</v>
      </c>
      <c r="H27" s="127">
        <f t="shared" ref="H27:H45" si="11">+F27*G27</f>
        <v>0</v>
      </c>
      <c r="I27" s="125"/>
      <c r="J27" s="125"/>
      <c r="K27" s="125"/>
      <c r="L27" s="125"/>
      <c r="M27" s="206">
        <f t="shared" ref="M27:M45" si="12">+C27+D27+E27+H27+I27+J27+K27+L27</f>
        <v>59838.78</v>
      </c>
      <c r="O27" s="42"/>
      <c r="R27" s="212" t="s">
        <v>168</v>
      </c>
      <c r="S27" s="228">
        <f>1583.42*1.01687</f>
        <v>1610.1322954</v>
      </c>
      <c r="T27" s="228">
        <v>357.34</v>
      </c>
      <c r="U27" s="228">
        <f>52.62*1.01687</f>
        <v>53.507699399999993</v>
      </c>
      <c r="V27" s="213">
        <f>SUM(S27:U27)</f>
        <v>2020.9799948</v>
      </c>
      <c r="W27" s="229">
        <v>1.1000000000000001</v>
      </c>
      <c r="X27" s="230">
        <f>W27*V27</f>
        <v>2223.07799428</v>
      </c>
    </row>
    <row r="28" spans="1:27" x14ac:dyDescent="0.3">
      <c r="B28" s="112" t="s">
        <v>18</v>
      </c>
      <c r="C28" s="45"/>
      <c r="D28" s="16">
        <v>0</v>
      </c>
      <c r="E28" s="13"/>
      <c r="F28" s="13"/>
      <c r="G28" s="88">
        <f t="shared" si="10"/>
        <v>0.5</v>
      </c>
      <c r="H28" s="89">
        <f t="shared" si="11"/>
        <v>0</v>
      </c>
      <c r="I28" s="13"/>
      <c r="J28" s="13"/>
      <c r="K28" s="13"/>
      <c r="L28" s="13"/>
      <c r="M28" s="200">
        <f t="shared" si="12"/>
        <v>0</v>
      </c>
      <c r="O28" s="43"/>
      <c r="R28" s="212" t="s">
        <v>163</v>
      </c>
      <c r="S28" s="228">
        <f>2552.71*1.01687</f>
        <v>2595.7742177</v>
      </c>
      <c r="T28" s="228">
        <v>276.24</v>
      </c>
      <c r="U28" s="228">
        <f>79.8*1.01687</f>
        <v>81.146225999999999</v>
      </c>
      <c r="V28" s="213">
        <f>SUM(S28:U28)</f>
        <v>2953.1604436999996</v>
      </c>
      <c r="W28" s="231">
        <v>1.1000000000000001</v>
      </c>
      <c r="X28" s="232">
        <f>W28*V28</f>
        <v>3248.47648807</v>
      </c>
      <c r="AA28" s="99"/>
    </row>
    <row r="29" spans="1:27" x14ac:dyDescent="0.3">
      <c r="B29" s="112" t="s">
        <v>2</v>
      </c>
      <c r="C29" s="45"/>
      <c r="D29" s="16">
        <v>0</v>
      </c>
      <c r="E29" s="13"/>
      <c r="F29" s="13"/>
      <c r="G29" s="88">
        <f t="shared" si="10"/>
        <v>0.5</v>
      </c>
      <c r="H29" s="89">
        <f t="shared" si="11"/>
        <v>0</v>
      </c>
      <c r="I29" s="13"/>
      <c r="J29" s="13"/>
      <c r="K29" s="13"/>
      <c r="L29" s="13"/>
      <c r="M29" s="200">
        <f t="shared" si="12"/>
        <v>0</v>
      </c>
      <c r="O29" s="43"/>
      <c r="R29" s="216" t="s">
        <v>86</v>
      </c>
      <c r="S29" s="233">
        <f>15269.06*1.01687</f>
        <v>15526.649042199999</v>
      </c>
      <c r="T29" s="233">
        <v>3232.68</v>
      </c>
      <c r="U29" s="233">
        <f>1336.11*1.01687</f>
        <v>1358.6501756999999</v>
      </c>
      <c r="V29" s="217">
        <f>SUM(S29:U29)</f>
        <v>20117.9792179</v>
      </c>
      <c r="W29" s="231">
        <v>1.1000000000000001</v>
      </c>
      <c r="X29" s="234">
        <f>W29*V29</f>
        <v>22129.777139690003</v>
      </c>
      <c r="AA29" s="99"/>
    </row>
    <row r="30" spans="1:27" ht="15" thickBot="1" x14ac:dyDescent="0.35">
      <c r="B30" s="112" t="s">
        <v>3</v>
      </c>
      <c r="C30" s="45"/>
      <c r="D30" s="16">
        <v>0</v>
      </c>
      <c r="E30" s="13"/>
      <c r="F30" s="13"/>
      <c r="G30" s="88">
        <f t="shared" si="10"/>
        <v>0.5</v>
      </c>
      <c r="H30" s="89">
        <f t="shared" si="11"/>
        <v>0</v>
      </c>
      <c r="I30" s="13"/>
      <c r="J30" s="13"/>
      <c r="K30" s="13"/>
      <c r="L30" s="13"/>
      <c r="M30" s="200">
        <f t="shared" si="12"/>
        <v>0</v>
      </c>
      <c r="O30" s="43"/>
      <c r="R30" s="218" t="s">
        <v>136</v>
      </c>
      <c r="S30" s="235"/>
      <c r="T30" s="235">
        <v>296.07</v>
      </c>
      <c r="U30" s="235">
        <f>311.93*1.01687</f>
        <v>317.1922591</v>
      </c>
      <c r="V30" s="219">
        <f>SUM(S30:U30)</f>
        <v>613.26225909999994</v>
      </c>
      <c r="W30" s="231">
        <v>1.1000000000000001</v>
      </c>
      <c r="X30" s="230">
        <f>W30*V30</f>
        <v>674.58848501</v>
      </c>
    </row>
    <row r="31" spans="1:27" ht="15" thickBot="1" x14ac:dyDescent="0.35">
      <c r="B31" s="112" t="s">
        <v>4</v>
      </c>
      <c r="C31" s="45"/>
      <c r="D31" s="16">
        <v>16838.48</v>
      </c>
      <c r="E31" s="13"/>
      <c r="F31" s="13"/>
      <c r="G31" s="88">
        <f t="shared" si="10"/>
        <v>0.5</v>
      </c>
      <c r="H31" s="89">
        <f t="shared" si="11"/>
        <v>0</v>
      </c>
      <c r="I31" s="13"/>
      <c r="J31" s="13"/>
      <c r="K31" s="13"/>
      <c r="L31" s="13"/>
      <c r="M31" s="200">
        <f t="shared" si="12"/>
        <v>16838.48</v>
      </c>
      <c r="O31" s="43"/>
      <c r="R31" s="221"/>
      <c r="S31" s="222">
        <f>SUM(S27:S30)</f>
        <v>19732.555555299998</v>
      </c>
      <c r="T31" s="222">
        <f>SUM(T27:T30)</f>
        <v>4162.33</v>
      </c>
      <c r="U31" s="222">
        <f>SUM(U27:U30)</f>
        <v>1810.4963601999998</v>
      </c>
      <c r="V31" s="236"/>
      <c r="W31" s="237"/>
      <c r="X31" s="238">
        <f>SUM(X27:X30)</f>
        <v>28275.920107050002</v>
      </c>
    </row>
    <row r="32" spans="1:27" x14ac:dyDescent="0.3">
      <c r="B32" s="112" t="s">
        <v>158</v>
      </c>
      <c r="C32" s="45"/>
      <c r="D32" s="16">
        <v>6703.9</v>
      </c>
      <c r="E32" s="13"/>
      <c r="F32" s="13"/>
      <c r="G32" s="88">
        <f t="shared" si="10"/>
        <v>0.5</v>
      </c>
      <c r="H32" s="89">
        <f t="shared" si="11"/>
        <v>0</v>
      </c>
      <c r="I32" s="13"/>
      <c r="J32" s="13"/>
      <c r="K32" s="13"/>
      <c r="L32" s="13"/>
      <c r="M32" s="200">
        <f t="shared" si="12"/>
        <v>6703.9</v>
      </c>
      <c r="O32" s="43"/>
      <c r="R32" s="151"/>
      <c r="S32" s="152"/>
      <c r="T32" s="152"/>
      <c r="U32" s="152"/>
      <c r="V32" s="151"/>
      <c r="W32" s="151"/>
      <c r="X32" s="151"/>
    </row>
    <row r="33" spans="2:22" ht="15" thickBot="1" x14ac:dyDescent="0.35">
      <c r="B33" s="112" t="s">
        <v>19</v>
      </c>
      <c r="C33" s="46"/>
      <c r="D33" s="204">
        <v>0</v>
      </c>
      <c r="E33" s="15"/>
      <c r="F33" s="15"/>
      <c r="G33" s="88">
        <f t="shared" si="10"/>
        <v>0.5</v>
      </c>
      <c r="H33" s="89">
        <f t="shared" si="11"/>
        <v>0</v>
      </c>
      <c r="I33" s="15"/>
      <c r="J33" s="15"/>
      <c r="K33" s="15"/>
      <c r="L33" s="15"/>
      <c r="M33" s="200">
        <f t="shared" si="12"/>
        <v>0</v>
      </c>
      <c r="O33" s="43"/>
      <c r="R33" s="190"/>
      <c r="S33" s="190"/>
      <c r="T33" s="190"/>
      <c r="U33" s="190"/>
    </row>
    <row r="34" spans="2:22" ht="15" thickBot="1" x14ac:dyDescent="0.35">
      <c r="B34" s="112" t="s">
        <v>20</v>
      </c>
      <c r="C34" s="46"/>
      <c r="D34" s="204">
        <v>0</v>
      </c>
      <c r="E34" s="15"/>
      <c r="F34" s="15"/>
      <c r="G34" s="88">
        <f t="shared" si="10"/>
        <v>0.5</v>
      </c>
      <c r="H34" s="89">
        <f t="shared" si="11"/>
        <v>0</v>
      </c>
      <c r="I34" s="15"/>
      <c r="J34" s="15"/>
      <c r="K34" s="15"/>
      <c r="L34" s="15"/>
      <c r="M34" s="200">
        <f t="shared" si="12"/>
        <v>0</v>
      </c>
      <c r="O34" s="43"/>
      <c r="R34" s="191" t="s">
        <v>148</v>
      </c>
      <c r="S34" s="197"/>
      <c r="T34" s="192" t="s">
        <v>173</v>
      </c>
      <c r="U34" s="196"/>
    </row>
    <row r="35" spans="2:22" x14ac:dyDescent="0.3">
      <c r="B35" s="112" t="s">
        <v>21</v>
      </c>
      <c r="C35" s="46"/>
      <c r="D35" s="204">
        <v>0</v>
      </c>
      <c r="E35" s="15"/>
      <c r="F35" s="15"/>
      <c r="G35" s="88">
        <f t="shared" si="10"/>
        <v>0.5</v>
      </c>
      <c r="H35" s="89">
        <f t="shared" si="11"/>
        <v>0</v>
      </c>
      <c r="I35" s="15"/>
      <c r="J35" s="15"/>
      <c r="K35" s="15"/>
      <c r="L35" s="15"/>
      <c r="M35" s="200">
        <f t="shared" si="12"/>
        <v>0</v>
      </c>
      <c r="O35" s="43"/>
      <c r="R35" s="212" t="s">
        <v>167</v>
      </c>
      <c r="S35" s="213">
        <f>15196.79*1.01687</f>
        <v>15453.159847299999</v>
      </c>
      <c r="T35" s="239">
        <v>1.1000000000000001</v>
      </c>
      <c r="U35" s="240">
        <f>T35*S35</f>
        <v>16998.475832030002</v>
      </c>
    </row>
    <row r="36" spans="2:22" x14ac:dyDescent="0.3">
      <c r="B36" s="112" t="s">
        <v>22</v>
      </c>
      <c r="C36" s="46"/>
      <c r="D36" s="204">
        <v>0</v>
      </c>
      <c r="E36" s="15"/>
      <c r="F36" s="15"/>
      <c r="G36" s="88">
        <f t="shared" si="10"/>
        <v>0.5</v>
      </c>
      <c r="H36" s="89">
        <f t="shared" si="11"/>
        <v>0</v>
      </c>
      <c r="I36" s="15"/>
      <c r="J36" s="15"/>
      <c r="K36" s="15"/>
      <c r="L36" s="15"/>
      <c r="M36" s="200">
        <f t="shared" si="12"/>
        <v>0</v>
      </c>
      <c r="O36" s="42"/>
      <c r="R36" s="212" t="s">
        <v>163</v>
      </c>
      <c r="S36" s="213">
        <f>19030.95*1.01687</f>
        <v>19352.0021265</v>
      </c>
      <c r="T36" s="241">
        <v>1.1000000000000001</v>
      </c>
      <c r="U36" s="242">
        <f>S36*T36</f>
        <v>21287.202339150001</v>
      </c>
      <c r="V36" s="136"/>
    </row>
    <row r="37" spans="2:22" x14ac:dyDescent="0.3">
      <c r="B37" s="112" t="s">
        <v>23</v>
      </c>
      <c r="C37" s="46"/>
      <c r="D37" s="204">
        <v>0</v>
      </c>
      <c r="E37" s="15"/>
      <c r="F37" s="15"/>
      <c r="G37" s="88">
        <f t="shared" si="10"/>
        <v>0.5</v>
      </c>
      <c r="H37" s="89">
        <f t="shared" si="11"/>
        <v>0</v>
      </c>
      <c r="I37" s="15"/>
      <c r="J37" s="15"/>
      <c r="K37" s="15"/>
      <c r="L37" s="15"/>
      <c r="M37" s="200">
        <f t="shared" si="12"/>
        <v>0</v>
      </c>
      <c r="O37" s="43"/>
      <c r="R37" s="216" t="s">
        <v>86</v>
      </c>
      <c r="S37" s="217">
        <f>97671.65*1.01687</f>
        <v>99319.370735499993</v>
      </c>
      <c r="T37" s="241">
        <v>1.1000000000000001</v>
      </c>
      <c r="U37" s="242">
        <f>T37*S37</f>
        <v>109251.30780905001</v>
      </c>
    </row>
    <row r="38" spans="2:22" ht="15" thickBot="1" x14ac:dyDescent="0.35">
      <c r="B38" s="112" t="s">
        <v>24</v>
      </c>
      <c r="C38" s="46"/>
      <c r="D38" s="204">
        <v>0</v>
      </c>
      <c r="E38" s="15"/>
      <c r="F38" s="15"/>
      <c r="G38" s="88">
        <f t="shared" si="10"/>
        <v>0.5</v>
      </c>
      <c r="H38" s="89">
        <f t="shared" si="11"/>
        <v>0</v>
      </c>
      <c r="I38" s="15"/>
      <c r="J38" s="15"/>
      <c r="K38" s="15"/>
      <c r="L38" s="15"/>
      <c r="M38" s="200">
        <f t="shared" si="12"/>
        <v>0</v>
      </c>
      <c r="O38" s="43"/>
      <c r="R38" s="218" t="s">
        <v>136</v>
      </c>
      <c r="S38" s="219">
        <f>32841.68*1.01687</f>
        <v>33395.719141599999</v>
      </c>
      <c r="T38" s="241">
        <v>1.1000000000000001</v>
      </c>
      <c r="U38" s="243">
        <f>T38*S38</f>
        <v>36735.291055760004</v>
      </c>
    </row>
    <row r="39" spans="2:22" ht="15" thickBot="1" x14ac:dyDescent="0.35">
      <c r="B39" s="112" t="s">
        <v>25</v>
      </c>
      <c r="C39" s="46"/>
      <c r="D39" s="204">
        <v>0</v>
      </c>
      <c r="E39" s="15"/>
      <c r="F39" s="15"/>
      <c r="G39" s="88">
        <f t="shared" si="10"/>
        <v>0.5</v>
      </c>
      <c r="H39" s="89">
        <f t="shared" si="11"/>
        <v>0</v>
      </c>
      <c r="I39" s="15"/>
      <c r="J39" s="15"/>
      <c r="K39" s="15"/>
      <c r="L39" s="15"/>
      <c r="M39" s="200">
        <f t="shared" si="12"/>
        <v>0</v>
      </c>
      <c r="O39" s="43"/>
      <c r="R39" s="221"/>
      <c r="S39" s="244">
        <f>SUM(S35:S38)</f>
        <v>167520.25185090001</v>
      </c>
      <c r="T39" s="237"/>
      <c r="U39" s="224">
        <f>SUM(U35:U38)</f>
        <v>184272.27703599</v>
      </c>
    </row>
    <row r="40" spans="2:22" ht="15" thickBot="1" x14ac:dyDescent="0.35">
      <c r="B40" s="112" t="s">
        <v>26</v>
      </c>
      <c r="C40" s="46"/>
      <c r="D40" s="204">
        <v>15.86</v>
      </c>
      <c r="E40" s="15"/>
      <c r="F40" s="15"/>
      <c r="G40" s="88">
        <f t="shared" si="10"/>
        <v>0.5</v>
      </c>
      <c r="H40" s="89">
        <f t="shared" si="11"/>
        <v>0</v>
      </c>
      <c r="I40" s="15"/>
      <c r="J40" s="15"/>
      <c r="K40" s="15"/>
      <c r="L40" s="15"/>
      <c r="M40" s="200">
        <f t="shared" si="12"/>
        <v>15.86</v>
      </c>
      <c r="O40" s="43"/>
    </row>
    <row r="41" spans="2:22" ht="15" thickBot="1" x14ac:dyDescent="0.35">
      <c r="B41" s="112" t="s">
        <v>27</v>
      </c>
      <c r="C41" s="46"/>
      <c r="D41" s="204">
        <v>0</v>
      </c>
      <c r="E41" s="15"/>
      <c r="F41" s="15"/>
      <c r="G41" s="88">
        <f t="shared" si="10"/>
        <v>0.5</v>
      </c>
      <c r="H41" s="89">
        <f t="shared" si="11"/>
        <v>0</v>
      </c>
      <c r="I41" s="15"/>
      <c r="J41" s="15"/>
      <c r="K41" s="15"/>
      <c r="L41" s="15"/>
      <c r="M41" s="200">
        <f t="shared" si="12"/>
        <v>0</v>
      </c>
      <c r="O41" s="43"/>
      <c r="R41" s="165" t="s">
        <v>150</v>
      </c>
      <c r="S41" s="169"/>
      <c r="T41" s="176" t="s">
        <v>173</v>
      </c>
      <c r="U41" s="171"/>
    </row>
    <row r="42" spans="2:22" x14ac:dyDescent="0.3">
      <c r="B42" s="112" t="s">
        <v>28</v>
      </c>
      <c r="C42" s="46"/>
      <c r="D42" s="204"/>
      <c r="E42" s="15"/>
      <c r="F42" s="15"/>
      <c r="G42" s="88">
        <f t="shared" si="10"/>
        <v>0.5</v>
      </c>
      <c r="H42" s="89">
        <f t="shared" si="11"/>
        <v>0</v>
      </c>
      <c r="I42" s="15"/>
      <c r="J42" s="15"/>
      <c r="K42" s="15"/>
      <c r="L42" s="15"/>
      <c r="M42" s="200">
        <f t="shared" si="12"/>
        <v>0</v>
      </c>
      <c r="O42" s="43"/>
      <c r="R42" s="212" t="s">
        <v>168</v>
      </c>
      <c r="S42" s="213">
        <f>9382.58*1.01687</f>
        <v>9540.8641245999988</v>
      </c>
      <c r="T42" s="239">
        <v>1.1000000000000001</v>
      </c>
      <c r="U42" s="240">
        <f>T42*S42</f>
        <v>10494.95053706</v>
      </c>
    </row>
    <row r="43" spans="2:22" x14ac:dyDescent="0.3">
      <c r="B43" s="112" t="s">
        <v>29</v>
      </c>
      <c r="C43" s="46"/>
      <c r="D43" s="204">
        <v>0</v>
      </c>
      <c r="E43" s="15"/>
      <c r="F43" s="15"/>
      <c r="G43" s="88">
        <f t="shared" si="10"/>
        <v>0.5</v>
      </c>
      <c r="H43" s="89">
        <f t="shared" si="11"/>
        <v>0</v>
      </c>
      <c r="I43" s="15"/>
      <c r="J43" s="15"/>
      <c r="K43" s="15"/>
      <c r="L43" s="15"/>
      <c r="M43" s="200">
        <f t="shared" si="12"/>
        <v>0</v>
      </c>
      <c r="O43" s="43"/>
      <c r="R43" s="212" t="s">
        <v>163</v>
      </c>
      <c r="S43" s="213">
        <f>11323.89*1.01687</f>
        <v>11514.924024299999</v>
      </c>
      <c r="T43" s="241">
        <v>1.1000000000000001</v>
      </c>
      <c r="U43" s="242">
        <f>S43*T43</f>
        <v>12666.41642673</v>
      </c>
    </row>
    <row r="44" spans="2:22" x14ac:dyDescent="0.3">
      <c r="B44" s="112" t="s">
        <v>177</v>
      </c>
      <c r="C44" s="46"/>
      <c r="D44" s="204">
        <v>0</v>
      </c>
      <c r="E44" s="15"/>
      <c r="F44" s="15"/>
      <c r="G44" s="88">
        <f t="shared" si="10"/>
        <v>0.5</v>
      </c>
      <c r="H44" s="89">
        <f t="shared" si="11"/>
        <v>0</v>
      </c>
      <c r="I44" s="15"/>
      <c r="J44" s="15"/>
      <c r="K44" s="15"/>
      <c r="L44" s="15"/>
      <c r="M44" s="200">
        <f t="shared" si="12"/>
        <v>0</v>
      </c>
      <c r="O44" s="43" t="s">
        <v>157</v>
      </c>
      <c r="R44" s="216" t="s">
        <v>86</v>
      </c>
      <c r="S44" s="217">
        <f>60558.32*1.01687</f>
        <v>61579.938858399997</v>
      </c>
      <c r="T44" s="241">
        <v>1.1000000000000001</v>
      </c>
      <c r="U44" s="242">
        <f>T44*S44</f>
        <v>67737.932744239995</v>
      </c>
    </row>
    <row r="45" spans="2:22" ht="15" thickBot="1" x14ac:dyDescent="0.35">
      <c r="B45" s="112" t="s">
        <v>159</v>
      </c>
      <c r="C45" s="45"/>
      <c r="D45" s="16">
        <v>13300.44</v>
      </c>
      <c r="E45" s="13"/>
      <c r="F45" s="13"/>
      <c r="G45" s="88">
        <f t="shared" si="10"/>
        <v>0.5</v>
      </c>
      <c r="H45" s="89">
        <f t="shared" si="11"/>
        <v>0</v>
      </c>
      <c r="I45" s="13"/>
      <c r="J45" s="13"/>
      <c r="K45" s="13"/>
      <c r="L45" s="13"/>
      <c r="M45" s="200">
        <f t="shared" si="12"/>
        <v>13300.44</v>
      </c>
      <c r="O45" s="44"/>
      <c r="R45" s="218" t="s">
        <v>136</v>
      </c>
      <c r="S45" s="219">
        <f>9759.83*1.01687</f>
        <v>9924.4783320999995</v>
      </c>
      <c r="T45" s="241">
        <v>1.1000000000000001</v>
      </c>
      <c r="U45" s="243">
        <f>T45*S45</f>
        <v>10916.92616531</v>
      </c>
    </row>
    <row r="46" spans="2:22" ht="15" thickBot="1" x14ac:dyDescent="0.35">
      <c r="B46" s="128" t="s">
        <v>98</v>
      </c>
      <c r="C46" s="114"/>
      <c r="D46" s="205"/>
      <c r="E46" s="114"/>
      <c r="F46" s="114"/>
      <c r="G46" s="116"/>
      <c r="H46" s="129"/>
      <c r="I46" s="114"/>
      <c r="J46" s="114"/>
      <c r="K46" s="114"/>
      <c r="L46" s="114"/>
      <c r="M46" s="207">
        <v>-40618</v>
      </c>
      <c r="O46" s="35">
        <f>SUM(O27:O45)</f>
        <v>0</v>
      </c>
      <c r="R46" s="221"/>
      <c r="S46" s="244">
        <f>SUM(S42:S45)</f>
        <v>92560.205339399996</v>
      </c>
      <c r="T46" s="237"/>
      <c r="U46" s="224">
        <f>SUM(U42:U45)</f>
        <v>101816.22587333999</v>
      </c>
    </row>
    <row r="47" spans="2:22" ht="15" thickBot="1" x14ac:dyDescent="0.35">
      <c r="B47" s="71" t="s">
        <v>31</v>
      </c>
      <c r="C47" s="3">
        <f t="shared" ref="C47:K47" si="13">SUM(C27:C45)</f>
        <v>0</v>
      </c>
      <c r="D47" s="3">
        <f>SUM(D27:D46)</f>
        <v>96697.459999999992</v>
      </c>
      <c r="E47" s="3">
        <f t="shared" si="13"/>
        <v>0</v>
      </c>
      <c r="F47" s="3">
        <f t="shared" si="13"/>
        <v>0</v>
      </c>
      <c r="G47" s="3"/>
      <c r="H47" s="3">
        <f t="shared" si="13"/>
        <v>0</v>
      </c>
      <c r="I47" s="3">
        <f t="shared" si="13"/>
        <v>0</v>
      </c>
      <c r="J47" s="3">
        <f t="shared" si="13"/>
        <v>0</v>
      </c>
      <c r="K47" s="3">
        <f t="shared" si="13"/>
        <v>0</v>
      </c>
      <c r="L47" s="3">
        <f>SUM(L27:L46)</f>
        <v>0</v>
      </c>
      <c r="M47" s="41">
        <f>SUM(M27:M46)</f>
        <v>56079.459999999992</v>
      </c>
    </row>
    <row r="48" spans="2:22" ht="15" thickBot="1" x14ac:dyDescent="0.35">
      <c r="B48" s="36"/>
      <c r="C48" s="1"/>
      <c r="D48" s="1"/>
      <c r="E48" s="1"/>
      <c r="F48" s="1"/>
      <c r="G48" s="1"/>
      <c r="H48" s="1"/>
      <c r="I48" s="1"/>
      <c r="J48" s="1"/>
      <c r="K48" s="1"/>
      <c r="L48" s="29"/>
      <c r="M48" s="29"/>
      <c r="R48" s="165" t="s">
        <v>151</v>
      </c>
      <c r="S48" s="160"/>
      <c r="T48" s="177" t="s">
        <v>173</v>
      </c>
      <c r="U48" s="171"/>
    </row>
    <row r="49" spans="2:21" ht="16.2" thickBot="1" x14ac:dyDescent="0.35">
      <c r="B49" s="72" t="s">
        <v>87</v>
      </c>
      <c r="C49" s="73">
        <f>+C12+C24+C47</f>
        <v>84387.727689970008</v>
      </c>
      <c r="D49" s="74">
        <f>+D12+D24+D47</f>
        <v>316999.08999999997</v>
      </c>
      <c r="E49" s="74">
        <f>+E12+E24+E47</f>
        <v>96115.123125000013</v>
      </c>
      <c r="F49" s="74">
        <f>+F12+F24+F47</f>
        <v>520229.49112518999</v>
      </c>
      <c r="G49" s="74"/>
      <c r="H49" s="74">
        <f t="shared" ref="H49:M49" si="14">+H12+H24+H47</f>
        <v>260114.745562595</v>
      </c>
      <c r="I49" s="74">
        <f t="shared" si="14"/>
        <v>0</v>
      </c>
      <c r="J49" s="74">
        <f t="shared" si="14"/>
        <v>0</v>
      </c>
      <c r="K49" s="74">
        <f t="shared" si="14"/>
        <v>0</v>
      </c>
      <c r="L49" s="74">
        <f t="shared" si="14"/>
        <v>0</v>
      </c>
      <c r="M49" s="75">
        <f t="shared" si="14"/>
        <v>716998.68637756503</v>
      </c>
      <c r="R49" s="212" t="s">
        <v>169</v>
      </c>
      <c r="S49" s="213">
        <f>4366.43*1.01687</f>
        <v>4440.0916741000001</v>
      </c>
      <c r="T49" s="239">
        <v>1.1000000000000001</v>
      </c>
      <c r="U49" s="240">
        <f>T49*S49</f>
        <v>4884.1008415100005</v>
      </c>
    </row>
    <row r="50" spans="2:21" x14ac:dyDescent="0.3"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2"/>
      <c r="N50" s="33"/>
      <c r="R50" s="212" t="s">
        <v>163</v>
      </c>
      <c r="S50" s="213">
        <f>5469.77*1.01687</f>
        <v>5562.0450198999997</v>
      </c>
      <c r="T50" s="241">
        <v>1.1000000000000001</v>
      </c>
      <c r="U50" s="242">
        <f>T50*S50</f>
        <v>6118.2495218900003</v>
      </c>
    </row>
    <row r="51" spans="2:21" x14ac:dyDescent="0.3">
      <c r="B51" s="31"/>
      <c r="C51" s="78"/>
      <c r="D51" s="31"/>
      <c r="E51" s="31"/>
      <c r="F51" s="31"/>
      <c r="G51" s="31"/>
      <c r="H51" s="31"/>
      <c r="I51" s="31"/>
      <c r="J51" s="31"/>
      <c r="K51" s="31"/>
      <c r="L51" s="31"/>
      <c r="M51" s="32"/>
      <c r="N51" s="33"/>
      <c r="R51" s="216" t="s">
        <v>86</v>
      </c>
      <c r="S51" s="217">
        <f>27108.05*1.01687</f>
        <v>27565.362803499997</v>
      </c>
      <c r="T51" s="241">
        <v>1.1000000000000001</v>
      </c>
      <c r="U51" s="242">
        <f>T51*S51</f>
        <v>30321.899083849999</v>
      </c>
    </row>
    <row r="52" spans="2:21" ht="15" thickBot="1" x14ac:dyDescent="0.35"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135"/>
      <c r="M52" s="7"/>
      <c r="R52" s="218" t="s">
        <v>136</v>
      </c>
      <c r="S52" s="219">
        <f>5433.54*1.01687</f>
        <v>5525.2038198</v>
      </c>
      <c r="T52" s="241">
        <v>1.1000000000000001</v>
      </c>
      <c r="U52" s="243">
        <f>T52*S52</f>
        <v>6077.7242017800008</v>
      </c>
    </row>
    <row r="53" spans="2:21" ht="15" thickBot="1" x14ac:dyDescent="0.35">
      <c r="B53" s="31"/>
      <c r="C53" s="31"/>
      <c r="D53" s="31"/>
      <c r="E53" s="31"/>
      <c r="F53" s="31"/>
      <c r="G53" s="31"/>
      <c r="H53" s="31"/>
      <c r="I53" s="31"/>
      <c r="J53" s="31"/>
      <c r="K53" s="31"/>
      <c r="R53" s="221"/>
      <c r="S53" s="244">
        <f>SUM(S49:S52)</f>
        <v>43092.703317300002</v>
      </c>
      <c r="T53" s="237"/>
      <c r="U53" s="224">
        <f>SUM(U49:U52)</f>
        <v>47401.973649029998</v>
      </c>
    </row>
    <row r="54" spans="2:21" ht="15" thickBot="1" x14ac:dyDescent="0.3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7"/>
      <c r="M54" s="7"/>
    </row>
    <row r="55" spans="2:21" ht="15" thickBot="1" x14ac:dyDescent="0.35">
      <c r="B55" s="31"/>
      <c r="C55" s="31"/>
      <c r="D55" s="31"/>
      <c r="E55" s="31"/>
      <c r="F55" s="31"/>
      <c r="G55" s="31"/>
      <c r="H55" s="31"/>
      <c r="I55" s="31"/>
      <c r="J55" s="31"/>
      <c r="K55" s="31"/>
      <c r="R55" s="165" t="s">
        <v>152</v>
      </c>
      <c r="S55" s="160"/>
      <c r="T55" s="177" t="s">
        <v>173</v>
      </c>
      <c r="U55" s="171"/>
    </row>
    <row r="56" spans="2:21" ht="19.5" customHeight="1" x14ac:dyDescent="0.3">
      <c r="B56" s="31"/>
      <c r="C56" s="31"/>
      <c r="D56" s="31"/>
      <c r="E56" s="31"/>
      <c r="F56" s="31"/>
      <c r="G56" s="31"/>
      <c r="H56" s="31"/>
      <c r="I56" s="31"/>
      <c r="J56" s="31"/>
      <c r="K56" s="31"/>
      <c r="R56" s="212" t="s">
        <v>168</v>
      </c>
      <c r="S56" s="213">
        <f>5144.75*1.01687</f>
        <v>5231.5419324999993</v>
      </c>
      <c r="T56" s="239">
        <v>1.1000000000000001</v>
      </c>
      <c r="U56" s="240">
        <f>T56*S56</f>
        <v>5754.6961257499997</v>
      </c>
    </row>
    <row r="57" spans="2:21" x14ac:dyDescent="0.3">
      <c r="B57" s="31"/>
      <c r="C57" s="31"/>
      <c r="D57" s="31"/>
      <c r="E57" s="31"/>
      <c r="F57" s="31"/>
      <c r="G57" s="31"/>
      <c r="H57" s="31"/>
      <c r="I57" s="31"/>
      <c r="J57" s="31"/>
      <c r="K57" s="31"/>
      <c r="R57" s="212" t="s">
        <v>163</v>
      </c>
      <c r="S57" s="213">
        <f>6172.45*1.01687</f>
        <v>6276.5792314999999</v>
      </c>
      <c r="T57" s="241">
        <v>1.1000000000000001</v>
      </c>
      <c r="U57" s="242">
        <f>T57*S57</f>
        <v>6904.2371546500008</v>
      </c>
    </row>
    <row r="58" spans="2:21" x14ac:dyDescent="0.3">
      <c r="B58" s="31"/>
      <c r="C58" s="31"/>
      <c r="D58" s="31"/>
      <c r="E58" s="31"/>
      <c r="F58" s="31"/>
      <c r="G58" s="31"/>
      <c r="H58" s="31"/>
      <c r="I58" s="31"/>
      <c r="J58" s="31"/>
      <c r="K58" s="31"/>
      <c r="R58" s="216" t="s">
        <v>86</v>
      </c>
      <c r="S58" s="217">
        <f>37286.69*1.01687</f>
        <v>37915.716460299998</v>
      </c>
      <c r="T58" s="241">
        <v>1.1000000000000001</v>
      </c>
      <c r="U58" s="242">
        <f>T58*S58</f>
        <v>41707.288106330001</v>
      </c>
    </row>
    <row r="59" spans="2:21" ht="15" thickBot="1" x14ac:dyDescent="0.35">
      <c r="B59" s="31"/>
      <c r="C59" s="31"/>
      <c r="D59" s="31"/>
      <c r="E59" s="31"/>
      <c r="F59" s="31"/>
      <c r="G59" s="31"/>
      <c r="H59" s="31"/>
      <c r="I59" s="31"/>
      <c r="J59" s="31"/>
      <c r="K59" s="31"/>
      <c r="R59" s="218" t="s">
        <v>136</v>
      </c>
      <c r="S59" s="219">
        <f>7547.73*1.01687</f>
        <v>7675.0602050999987</v>
      </c>
      <c r="T59" s="241">
        <v>1.1000000000000001</v>
      </c>
      <c r="U59" s="243">
        <f>T59*S59</f>
        <v>8442.5662256099986</v>
      </c>
    </row>
    <row r="60" spans="2:21" ht="15" thickBot="1" x14ac:dyDescent="0.35"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7"/>
      <c r="M60" s="7"/>
      <c r="R60" s="221"/>
      <c r="S60" s="244">
        <f>SUM(S56:S59)</f>
        <v>57098.897829399997</v>
      </c>
      <c r="T60" s="237"/>
      <c r="U60" s="224">
        <f>SUM(U56:U59)</f>
        <v>62808.787612339998</v>
      </c>
    </row>
    <row r="61" spans="2:21" ht="15" thickBot="1" x14ac:dyDescent="0.35">
      <c r="B61" s="31"/>
      <c r="C61" s="31"/>
      <c r="D61" s="31"/>
      <c r="E61" s="31"/>
      <c r="F61" s="31"/>
      <c r="G61" s="31"/>
      <c r="H61" s="31"/>
      <c r="I61" s="31"/>
      <c r="J61" s="31"/>
      <c r="K61" s="31"/>
    </row>
    <row r="62" spans="2:21" ht="15" thickBot="1" x14ac:dyDescent="0.35">
      <c r="B62" s="31"/>
      <c r="C62" s="31"/>
      <c r="D62" s="31"/>
      <c r="E62" s="31"/>
      <c r="F62" s="31"/>
      <c r="G62" s="31"/>
      <c r="H62" s="31"/>
      <c r="I62" s="31"/>
      <c r="J62" s="31"/>
      <c r="K62" s="31"/>
      <c r="R62" s="165" t="s">
        <v>153</v>
      </c>
      <c r="S62" s="160"/>
      <c r="T62" s="177" t="s">
        <v>173</v>
      </c>
      <c r="U62" s="171"/>
    </row>
    <row r="63" spans="2:21" x14ac:dyDescent="0.3">
      <c r="B63" s="31"/>
      <c r="C63" s="31"/>
      <c r="D63" s="31"/>
      <c r="E63" s="31"/>
      <c r="F63" s="31"/>
      <c r="G63" s="31"/>
      <c r="H63" s="31"/>
      <c r="I63" s="31"/>
      <c r="J63" s="31"/>
      <c r="K63" s="31"/>
      <c r="R63" s="212" t="s">
        <v>168</v>
      </c>
      <c r="S63" s="213">
        <f>107.66*1.01687</f>
        <v>109.47622419999999</v>
      </c>
      <c r="T63" s="245">
        <v>1.1000000000000001</v>
      </c>
      <c r="U63" s="211">
        <f>T63*S63</f>
        <v>120.42384661999999</v>
      </c>
    </row>
    <row r="64" spans="2:21" x14ac:dyDescent="0.3">
      <c r="B64" s="31"/>
      <c r="C64" s="31"/>
      <c r="D64" s="31"/>
      <c r="E64" s="31"/>
      <c r="F64" s="31"/>
      <c r="G64" s="31"/>
      <c r="H64" s="31"/>
      <c r="I64" s="31"/>
      <c r="J64" s="31"/>
      <c r="K64" s="31"/>
      <c r="R64" s="212" t="s">
        <v>163</v>
      </c>
      <c r="S64" s="213">
        <f>167.09*1.01687</f>
        <v>169.9088083</v>
      </c>
      <c r="T64" s="246">
        <v>1.1000000000000001</v>
      </c>
      <c r="U64" s="215">
        <f>S64*T64</f>
        <v>186.89968913000001</v>
      </c>
    </row>
    <row r="65" spans="2:23" x14ac:dyDescent="0.3"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7"/>
      <c r="M65" s="7"/>
      <c r="R65" s="216" t="s">
        <v>86</v>
      </c>
      <c r="S65" s="217">
        <f>302.76*1.01687</f>
        <v>307.86756119999995</v>
      </c>
      <c r="T65" s="246">
        <v>1.1000000000000001</v>
      </c>
      <c r="U65" s="215">
        <f>T65*S65</f>
        <v>338.65431731999996</v>
      </c>
    </row>
    <row r="66" spans="2:23" ht="15" thickBot="1" x14ac:dyDescent="0.35">
      <c r="B66" s="31"/>
      <c r="C66" s="31"/>
      <c r="D66" s="31"/>
      <c r="E66" s="31"/>
      <c r="F66" s="31"/>
      <c r="G66" s="31"/>
      <c r="H66" s="31"/>
      <c r="I66" s="31"/>
      <c r="J66" s="31"/>
      <c r="K66" s="31"/>
      <c r="R66" s="218" t="s">
        <v>136</v>
      </c>
      <c r="S66" s="219"/>
      <c r="T66" s="247">
        <v>1.1000000000000001</v>
      </c>
      <c r="U66" s="220">
        <f>T66*S66</f>
        <v>0</v>
      </c>
    </row>
    <row r="67" spans="2:23" ht="15" thickBot="1" x14ac:dyDescent="0.35">
      <c r="B67" s="31"/>
      <c r="C67" s="31"/>
      <c r="D67" s="31"/>
      <c r="E67" s="31"/>
      <c r="F67" s="31"/>
      <c r="G67" s="31"/>
      <c r="H67" s="31"/>
      <c r="I67" s="31"/>
      <c r="J67" s="31"/>
      <c r="K67" s="31"/>
      <c r="R67" s="221"/>
      <c r="S67" s="244">
        <f>SUM(S63:S66)</f>
        <v>587.25259369999992</v>
      </c>
      <c r="T67" s="237"/>
      <c r="U67" s="224">
        <f>SUM(U63:U66)</f>
        <v>645.97785307000004</v>
      </c>
    </row>
    <row r="68" spans="2:23" ht="15" thickBot="1" x14ac:dyDescent="0.35">
      <c r="B68" s="31"/>
      <c r="C68" s="31"/>
      <c r="D68" s="31"/>
      <c r="E68" s="31"/>
      <c r="F68" s="31"/>
      <c r="G68" s="31"/>
      <c r="H68" s="31"/>
      <c r="I68" s="31"/>
      <c r="J68" s="31"/>
      <c r="K68" s="31"/>
      <c r="W68" s="147" t="s">
        <v>172</v>
      </c>
    </row>
    <row r="69" spans="2:23" ht="15" thickBot="1" x14ac:dyDescent="0.35">
      <c r="B69" s="31"/>
      <c r="C69" s="31"/>
      <c r="D69" s="31"/>
      <c r="E69" s="31"/>
      <c r="F69" s="31"/>
      <c r="G69" s="31"/>
      <c r="H69" s="31"/>
      <c r="I69" s="31"/>
      <c r="J69" s="31"/>
      <c r="K69" s="31"/>
      <c r="R69" s="165" t="s">
        <v>154</v>
      </c>
      <c r="S69" s="160"/>
      <c r="T69" s="177" t="s">
        <v>173</v>
      </c>
      <c r="U69" s="171"/>
      <c r="W69" s="148">
        <f>Y7+U15+V27+U35+U42+U49+U56+U63+U70</f>
        <v>76999.528075170005</v>
      </c>
    </row>
    <row r="70" spans="2:23" x14ac:dyDescent="0.3">
      <c r="B70" s="31"/>
      <c r="C70" s="31"/>
      <c r="D70" s="31"/>
      <c r="E70" s="31"/>
      <c r="F70" s="31"/>
      <c r="G70" s="31"/>
      <c r="H70" s="31"/>
      <c r="I70" s="31"/>
      <c r="J70" s="31"/>
      <c r="K70" s="31"/>
      <c r="R70" s="212" t="s">
        <v>168</v>
      </c>
      <c r="S70" s="213">
        <f>1319.17*1.01687</f>
        <v>1341.4243979</v>
      </c>
      <c r="T70" s="239">
        <v>1.1000000000000001</v>
      </c>
      <c r="U70" s="248">
        <f>T70*S70</f>
        <v>1475.5668376900001</v>
      </c>
    </row>
    <row r="71" spans="2:23" x14ac:dyDescent="0.3">
      <c r="B71" s="31"/>
      <c r="C71" s="31"/>
      <c r="D71" s="31"/>
      <c r="E71" s="31"/>
      <c r="F71" s="31"/>
      <c r="G71" s="31"/>
      <c r="H71" s="31"/>
      <c r="I71" s="31"/>
      <c r="J71" s="31"/>
      <c r="K71" s="31"/>
      <c r="R71" s="212" t="s">
        <v>171</v>
      </c>
      <c r="S71" s="213">
        <f>2131.23*1.01687</f>
        <v>2167.1838500999997</v>
      </c>
      <c r="T71" s="241">
        <v>1.1000000000000001</v>
      </c>
      <c r="U71" s="249">
        <f>T71*S71</f>
        <v>2383.9022351099998</v>
      </c>
    </row>
    <row r="72" spans="2:23" x14ac:dyDescent="0.3">
      <c r="B72" s="31"/>
      <c r="C72" s="31"/>
      <c r="D72" s="31"/>
      <c r="E72" s="31"/>
      <c r="F72" s="31"/>
      <c r="G72" s="31"/>
      <c r="H72" s="31"/>
      <c r="I72" s="31"/>
      <c r="J72" s="31"/>
      <c r="K72" s="31"/>
      <c r="R72" s="216" t="s">
        <v>86</v>
      </c>
      <c r="S72" s="217">
        <f>12693.22*1.01687</f>
        <v>12907.354621399998</v>
      </c>
      <c r="T72" s="241">
        <v>1.1000000000000001</v>
      </c>
      <c r="U72" s="249">
        <f>T72*S72</f>
        <v>14198.090083539999</v>
      </c>
    </row>
    <row r="73" spans="2:23" ht="15" thickBot="1" x14ac:dyDescent="0.35">
      <c r="B73" s="31"/>
      <c r="C73" s="31"/>
      <c r="D73" s="31"/>
      <c r="E73" s="31"/>
      <c r="F73" s="31"/>
      <c r="G73" s="31"/>
      <c r="H73" s="31"/>
      <c r="I73" s="31"/>
      <c r="J73" s="31"/>
      <c r="K73" s="31"/>
      <c r="R73" s="218" t="s">
        <v>136</v>
      </c>
      <c r="S73" s="219"/>
      <c r="T73" s="241">
        <v>1.1000000000000001</v>
      </c>
      <c r="U73" s="250">
        <f>T73*S73</f>
        <v>0</v>
      </c>
    </row>
    <row r="74" spans="2:23" ht="15" thickBot="1" x14ac:dyDescent="0.35"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7"/>
      <c r="M74" s="7"/>
      <c r="R74" s="221"/>
      <c r="S74" s="244">
        <f>SUM(S70:S73)</f>
        <v>16415.962869399998</v>
      </c>
      <c r="T74" s="237"/>
      <c r="U74" s="224">
        <f>SUM(U70:U73)</f>
        <v>18057.559156339998</v>
      </c>
    </row>
    <row r="75" spans="2:23" x14ac:dyDescent="0.3">
      <c r="B75" s="31"/>
      <c r="C75" s="31"/>
      <c r="D75" s="31"/>
      <c r="E75" s="31"/>
      <c r="F75" s="31"/>
      <c r="G75" s="31"/>
      <c r="H75" s="31"/>
      <c r="I75" s="31"/>
      <c r="J75" s="31"/>
      <c r="K75" s="31"/>
      <c r="T75" s="99"/>
    </row>
    <row r="76" spans="2:23" x14ac:dyDescent="0.3">
      <c r="B76" s="31"/>
      <c r="C76" s="31"/>
      <c r="D76" s="31"/>
      <c r="E76" s="31"/>
      <c r="F76" s="31"/>
      <c r="G76" s="31"/>
      <c r="H76" s="31"/>
      <c r="I76" s="31"/>
      <c r="J76" s="31"/>
      <c r="K76" s="31"/>
    </row>
    <row r="77" spans="2:23" x14ac:dyDescent="0.3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7"/>
      <c r="M77" s="7"/>
    </row>
    <row r="78" spans="2:23" x14ac:dyDescent="0.3"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7"/>
      <c r="M78" s="7"/>
    </row>
    <row r="79" spans="2:23" x14ac:dyDescent="0.3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7"/>
      <c r="M79" s="7"/>
      <c r="R79" s="37"/>
    </row>
    <row r="80" spans="2:23" x14ac:dyDescent="0.3"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7"/>
      <c r="M80" s="7"/>
      <c r="R80" s="37"/>
    </row>
    <row r="81" spans="2:23" x14ac:dyDescent="0.3"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7"/>
      <c r="M81" s="7"/>
      <c r="R81" s="149">
        <f>S11+T11+U11+S19+S31+S39+S46+S53+S60+S67+S74+CC!E10+CC!F11+CC!E12+CC!G17</f>
        <v>776997.30103980005</v>
      </c>
      <c r="S81" s="149">
        <f>R81*1.1</f>
        <v>854697.0311437801</v>
      </c>
      <c r="T81" s="149"/>
    </row>
    <row r="82" spans="2:23" x14ac:dyDescent="0.3"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7"/>
      <c r="M82" s="7"/>
      <c r="R82" s="149">
        <v>698164</v>
      </c>
      <c r="S82" s="149">
        <f>R82*1.1</f>
        <v>767980.4</v>
      </c>
      <c r="T82" s="99"/>
    </row>
    <row r="83" spans="2:23" x14ac:dyDescent="0.3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7"/>
      <c r="M83" s="7"/>
    </row>
    <row r="84" spans="2:23" x14ac:dyDescent="0.3"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7"/>
      <c r="M84" s="7"/>
    </row>
    <row r="85" spans="2:23" x14ac:dyDescent="0.3"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7"/>
      <c r="M85" s="7"/>
    </row>
    <row r="86" spans="2:23" x14ac:dyDescent="0.3"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7"/>
      <c r="M86" s="7"/>
    </row>
    <row r="87" spans="2:23" x14ac:dyDescent="0.3"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7"/>
      <c r="M87" s="7"/>
    </row>
    <row r="88" spans="2:23" x14ac:dyDescent="0.3"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7"/>
      <c r="M88" s="7"/>
    </row>
    <row r="89" spans="2:23" x14ac:dyDescent="0.3"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7"/>
      <c r="M89" s="7"/>
    </row>
    <row r="90" spans="2:23" x14ac:dyDescent="0.3"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7"/>
      <c r="M90" s="7"/>
    </row>
    <row r="91" spans="2:23" x14ac:dyDescent="0.3"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7"/>
      <c r="M91" s="7"/>
    </row>
    <row r="92" spans="2:23" x14ac:dyDescent="0.3"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7"/>
      <c r="M92" s="7"/>
    </row>
    <row r="93" spans="2:23" x14ac:dyDescent="0.3"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7"/>
      <c r="M93" s="7"/>
    </row>
    <row r="94" spans="2:23" x14ac:dyDescent="0.3"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7"/>
      <c r="M94" s="7"/>
    </row>
    <row r="95" spans="2:23" ht="15" thickBot="1" x14ac:dyDescent="0.35"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7"/>
      <c r="M95" s="7"/>
    </row>
    <row r="96" spans="2:23" ht="15" thickBot="1" x14ac:dyDescent="0.35"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7"/>
      <c r="M96" s="7"/>
      <c r="W96" s="130"/>
    </row>
    <row r="97" spans="2:23" x14ac:dyDescent="0.3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7"/>
      <c r="M97" s="7"/>
    </row>
    <row r="98" spans="2:23" x14ac:dyDescent="0.3"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7"/>
      <c r="M98" s="7"/>
    </row>
    <row r="99" spans="2:23" x14ac:dyDescent="0.3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7"/>
      <c r="M99" s="7"/>
    </row>
    <row r="100" spans="2:23" ht="15" thickBot="1" x14ac:dyDescent="0.35"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7"/>
      <c r="M100" s="7"/>
    </row>
    <row r="101" spans="2:23" ht="15" thickBot="1" x14ac:dyDescent="0.35"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7"/>
      <c r="M101" s="7"/>
      <c r="W101" s="130">
        <f>SUM(W96:W100)</f>
        <v>0</v>
      </c>
    </row>
    <row r="102" spans="2:23" x14ac:dyDescent="0.3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7"/>
      <c r="M102" s="7"/>
    </row>
    <row r="103" spans="2:23" x14ac:dyDescent="0.3"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7"/>
      <c r="M103" s="7"/>
    </row>
    <row r="104" spans="2:23" x14ac:dyDescent="0.3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7"/>
      <c r="M104" s="7"/>
    </row>
    <row r="105" spans="2:23" x14ac:dyDescent="0.3"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7"/>
      <c r="M105" s="7"/>
    </row>
    <row r="106" spans="2:23" x14ac:dyDescent="0.3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7"/>
      <c r="M106" s="7"/>
    </row>
    <row r="107" spans="2:23" x14ac:dyDescent="0.3"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7"/>
      <c r="M107" s="7"/>
    </row>
    <row r="108" spans="2:23" x14ac:dyDescent="0.3"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7"/>
      <c r="M108" s="7"/>
    </row>
    <row r="109" spans="2:23" x14ac:dyDescent="0.3"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7"/>
      <c r="M109" s="7"/>
    </row>
    <row r="110" spans="2:23" x14ac:dyDescent="0.3"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7"/>
      <c r="M110" s="7"/>
    </row>
    <row r="111" spans="2:23" x14ac:dyDescent="0.3"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7"/>
      <c r="M111" s="7"/>
    </row>
    <row r="112" spans="2:23" x14ac:dyDescent="0.3"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7"/>
      <c r="M112" s="7"/>
    </row>
    <row r="113" spans="2:13" x14ac:dyDescent="0.3"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7"/>
      <c r="M113" s="7"/>
    </row>
    <row r="114" spans="2:13" x14ac:dyDescent="0.3"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7"/>
      <c r="M114" s="7"/>
    </row>
    <row r="115" spans="2:13" x14ac:dyDescent="0.3"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7"/>
      <c r="M115" s="7"/>
    </row>
    <row r="116" spans="2:13" x14ac:dyDescent="0.3"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7"/>
      <c r="M116" s="7"/>
    </row>
    <row r="117" spans="2:13" x14ac:dyDescent="0.3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7"/>
      <c r="M117" s="7"/>
    </row>
    <row r="118" spans="2:13" x14ac:dyDescent="0.3"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7"/>
      <c r="M118" s="7"/>
    </row>
    <row r="119" spans="2:13" x14ac:dyDescent="0.3"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7"/>
      <c r="M119" s="7"/>
    </row>
    <row r="120" spans="2:13" x14ac:dyDescent="0.3"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7"/>
      <c r="M120" s="7"/>
    </row>
    <row r="121" spans="2:13" x14ac:dyDescent="0.3"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7"/>
      <c r="M121" s="7"/>
    </row>
    <row r="122" spans="2:13" x14ac:dyDescent="0.3"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7"/>
      <c r="M122" s="7"/>
    </row>
    <row r="123" spans="2:13" x14ac:dyDescent="0.3"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7"/>
      <c r="M123" s="7"/>
    </row>
    <row r="124" spans="2:13" x14ac:dyDescent="0.3"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7"/>
      <c r="M124" s="7"/>
    </row>
    <row r="125" spans="2:13" x14ac:dyDescent="0.3"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7"/>
      <c r="M125" s="7"/>
    </row>
    <row r="126" spans="2:13" x14ac:dyDescent="0.3"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7"/>
      <c r="M126" s="7"/>
    </row>
    <row r="127" spans="2:13" x14ac:dyDescent="0.3"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7"/>
      <c r="M127" s="7"/>
    </row>
    <row r="128" spans="2:13" x14ac:dyDescent="0.3"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7"/>
      <c r="M128" s="7"/>
    </row>
    <row r="129" spans="2:13" x14ac:dyDescent="0.3"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7"/>
      <c r="M129" s="7"/>
    </row>
    <row r="130" spans="2:13" x14ac:dyDescent="0.3"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7"/>
      <c r="M130" s="7"/>
    </row>
    <row r="131" spans="2:13" x14ac:dyDescent="0.3"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7"/>
      <c r="M131" s="7"/>
    </row>
    <row r="132" spans="2:13" x14ac:dyDescent="0.3"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7"/>
      <c r="M132" s="7"/>
    </row>
    <row r="133" spans="2:13" x14ac:dyDescent="0.3"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7"/>
      <c r="M133" s="7"/>
    </row>
    <row r="134" spans="2:13" x14ac:dyDescent="0.3"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7"/>
      <c r="M134" s="7"/>
    </row>
    <row r="135" spans="2:13" x14ac:dyDescent="0.3"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7"/>
      <c r="M135" s="7"/>
    </row>
    <row r="136" spans="2:13" x14ac:dyDescent="0.3"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7"/>
      <c r="M136" s="7"/>
    </row>
    <row r="137" spans="2:13" x14ac:dyDescent="0.3"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7"/>
      <c r="M137" s="7"/>
    </row>
    <row r="138" spans="2:13" x14ac:dyDescent="0.3"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7"/>
      <c r="M138" s="7"/>
    </row>
    <row r="139" spans="2:13" x14ac:dyDescent="0.3"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7"/>
      <c r="M139" s="7"/>
    </row>
    <row r="140" spans="2:13" x14ac:dyDescent="0.3"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7"/>
      <c r="M140" s="7"/>
    </row>
    <row r="141" spans="2:13" x14ac:dyDescent="0.3"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7"/>
      <c r="M141" s="7"/>
    </row>
    <row r="142" spans="2:13" x14ac:dyDescent="0.3"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7"/>
      <c r="M142" s="7"/>
    </row>
    <row r="143" spans="2:13" x14ac:dyDescent="0.3"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7"/>
      <c r="M143" s="7"/>
    </row>
    <row r="144" spans="2:13" x14ac:dyDescent="0.3"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7"/>
      <c r="M144" s="7"/>
    </row>
    <row r="145" spans="2:13" x14ac:dyDescent="0.3"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7"/>
      <c r="M145" s="7"/>
    </row>
    <row r="146" spans="2:13" x14ac:dyDescent="0.3"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7"/>
      <c r="M146" s="7"/>
    </row>
    <row r="147" spans="2:13" x14ac:dyDescent="0.3"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7"/>
      <c r="M147" s="7"/>
    </row>
    <row r="148" spans="2:13" x14ac:dyDescent="0.3"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7"/>
      <c r="M148" s="7"/>
    </row>
    <row r="149" spans="2:13" x14ac:dyDescent="0.3"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7"/>
      <c r="M149" s="7"/>
    </row>
    <row r="150" spans="2:13" x14ac:dyDescent="0.3"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7"/>
      <c r="M150" s="7"/>
    </row>
    <row r="151" spans="2:13" x14ac:dyDescent="0.3"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7"/>
      <c r="M151" s="7"/>
    </row>
    <row r="152" spans="2:13" x14ac:dyDescent="0.3"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7"/>
      <c r="M152" s="7"/>
    </row>
    <row r="153" spans="2:13" x14ac:dyDescent="0.3"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7"/>
      <c r="M153" s="7"/>
    </row>
    <row r="154" spans="2:13" x14ac:dyDescent="0.3"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7"/>
      <c r="M154" s="7"/>
    </row>
    <row r="155" spans="2:13" x14ac:dyDescent="0.3"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7"/>
      <c r="M155" s="7"/>
    </row>
    <row r="156" spans="2:13" x14ac:dyDescent="0.3"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7"/>
      <c r="M156" s="7"/>
    </row>
    <row r="157" spans="2:13" x14ac:dyDescent="0.3"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7"/>
      <c r="M157" s="7"/>
    </row>
    <row r="158" spans="2:13" x14ac:dyDescent="0.3"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7"/>
      <c r="M158" s="7"/>
    </row>
    <row r="159" spans="2:13" x14ac:dyDescent="0.3"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7"/>
      <c r="M159" s="7"/>
    </row>
    <row r="160" spans="2:13" x14ac:dyDescent="0.3"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7"/>
      <c r="M160" s="7"/>
    </row>
    <row r="161" spans="2:13" x14ac:dyDescent="0.3"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7"/>
      <c r="M161" s="7"/>
    </row>
    <row r="162" spans="2:13" x14ac:dyDescent="0.3"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7"/>
      <c r="M162" s="7"/>
    </row>
    <row r="163" spans="2:13" x14ac:dyDescent="0.3"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7"/>
      <c r="M163" s="7"/>
    </row>
    <row r="164" spans="2:13" x14ac:dyDescent="0.3"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7"/>
      <c r="M164" s="7"/>
    </row>
    <row r="165" spans="2:13" x14ac:dyDescent="0.3">
      <c r="B165" s="7"/>
      <c r="C165" s="7"/>
      <c r="D165" s="7"/>
      <c r="E165" s="263"/>
      <c r="F165" s="264"/>
      <c r="G165" s="264"/>
      <c r="H165" s="264"/>
      <c r="I165" s="264"/>
      <c r="J165" s="264"/>
      <c r="K165" s="7"/>
      <c r="L165" s="7"/>
      <c r="M165" s="7"/>
    </row>
    <row r="166" spans="2:13" x14ac:dyDescent="0.3">
      <c r="B166" s="7"/>
      <c r="C166" s="7"/>
      <c r="D166" s="7"/>
      <c r="E166" s="263"/>
      <c r="F166" s="264"/>
      <c r="G166" s="264"/>
      <c r="H166" s="264"/>
      <c r="I166" s="264"/>
      <c r="J166" s="264"/>
      <c r="K166" s="7"/>
      <c r="L166" s="7"/>
      <c r="M166" s="7"/>
    </row>
    <row r="167" spans="2:13" x14ac:dyDescent="0.3">
      <c r="B167" s="7"/>
      <c r="C167" s="7"/>
      <c r="D167" s="7"/>
      <c r="E167" s="263"/>
      <c r="F167" s="264"/>
      <c r="G167" s="264"/>
      <c r="H167" s="264"/>
      <c r="I167" s="264"/>
      <c r="J167" s="264"/>
      <c r="K167" s="7"/>
      <c r="L167" s="7"/>
      <c r="M167" s="7"/>
    </row>
    <row r="168" spans="2:13" x14ac:dyDescent="0.3">
      <c r="B168" s="7"/>
      <c r="C168" s="7"/>
      <c r="D168" s="7"/>
      <c r="E168" s="263"/>
      <c r="F168" s="264"/>
      <c r="G168" s="264"/>
      <c r="H168" s="264"/>
      <c r="I168" s="264"/>
      <c r="J168" s="264"/>
      <c r="K168" s="7"/>
      <c r="L168" s="7"/>
      <c r="M168" s="7"/>
    </row>
    <row r="169" spans="2:13" x14ac:dyDescent="0.3">
      <c r="B169" s="7"/>
      <c r="C169" s="7"/>
      <c r="D169" s="7"/>
      <c r="E169" s="263"/>
      <c r="F169" s="264"/>
      <c r="G169" s="264"/>
      <c r="H169" s="264"/>
      <c r="I169" s="264"/>
      <c r="J169" s="264"/>
      <c r="K169" s="7"/>
      <c r="L169" s="7"/>
      <c r="M169" s="7"/>
    </row>
    <row r="170" spans="2:13" x14ac:dyDescent="0.3">
      <c r="B170" s="7"/>
      <c r="C170" s="7"/>
      <c r="D170" s="7"/>
      <c r="E170" s="263"/>
      <c r="F170" s="264"/>
      <c r="G170" s="264"/>
      <c r="H170" s="264"/>
      <c r="I170" s="264"/>
      <c r="J170" s="264"/>
      <c r="K170" s="7"/>
      <c r="L170" s="7"/>
      <c r="M170" s="7"/>
    </row>
    <row r="171" spans="2:13" x14ac:dyDescent="0.3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</row>
    <row r="172" spans="2:13" x14ac:dyDescent="0.3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</row>
    <row r="173" spans="2:13" x14ac:dyDescent="0.3">
      <c r="B173" s="7"/>
      <c r="C173" s="7"/>
    </row>
    <row r="174" spans="2:13" x14ac:dyDescent="0.3">
      <c r="C174" s="37"/>
    </row>
  </sheetData>
  <mergeCells count="8">
    <mergeCell ref="B2:O2"/>
    <mergeCell ref="F5:H5"/>
    <mergeCell ref="E169:J169"/>
    <mergeCell ref="E170:J170"/>
    <mergeCell ref="E165:J165"/>
    <mergeCell ref="E166:J166"/>
    <mergeCell ref="E167:J167"/>
    <mergeCell ref="E168:J168"/>
  </mergeCells>
  <printOptions horizontalCentered="1"/>
  <pageMargins left="0.25" right="0.25" top="0.75" bottom="0.75" header="0.3" footer="0.3"/>
  <pageSetup paperSize="8" scale="84" orientation="landscape" horizontalDpi="300" r:id="rId1"/>
  <rowBreaks count="3" manualBreakCount="3">
    <brk id="51" max="16383" man="1"/>
    <brk id="77" max="16383" man="1"/>
    <brk id="1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5" workbookViewId="0">
      <selection activeCell="E40" sqref="E40"/>
    </sheetView>
  </sheetViews>
  <sheetFormatPr defaultRowHeight="14.4" x14ac:dyDescent="0.3"/>
  <cols>
    <col min="1" max="1" width="61" customWidth="1"/>
    <col min="2" max="2" width="17.6640625" customWidth="1"/>
  </cols>
  <sheetData>
    <row r="1" spans="1:2" ht="26.4" thickBot="1" x14ac:dyDescent="0.55000000000000004">
      <c r="A1" s="267" t="s">
        <v>81</v>
      </c>
      <c r="B1" s="268"/>
    </row>
    <row r="2" spans="1:2" ht="15" thickBot="1" x14ac:dyDescent="0.35">
      <c r="A2" s="7"/>
      <c r="B2" s="6"/>
    </row>
    <row r="3" spans="1:2" ht="15" thickBot="1" x14ac:dyDescent="0.35">
      <c r="A3" s="269" t="s">
        <v>57</v>
      </c>
      <c r="B3" s="270"/>
    </row>
    <row r="4" spans="1:2" x14ac:dyDescent="0.3">
      <c r="A4" s="53" t="s">
        <v>36</v>
      </c>
      <c r="B4" s="17"/>
    </row>
    <row r="5" spans="1:2" x14ac:dyDescent="0.3">
      <c r="A5" s="54" t="s">
        <v>37</v>
      </c>
      <c r="B5" s="18">
        <f>CG!W69</f>
        <v>76999.528075170005</v>
      </c>
    </row>
    <row r="6" spans="1:2" x14ac:dyDescent="0.3">
      <c r="A6" s="54" t="s">
        <v>38</v>
      </c>
      <c r="B6" s="18"/>
    </row>
    <row r="7" spans="1:2" x14ac:dyDescent="0.3">
      <c r="A7" s="54" t="s">
        <v>39</v>
      </c>
      <c r="B7" s="18"/>
    </row>
    <row r="8" spans="1:2" x14ac:dyDescent="0.3">
      <c r="A8" s="54" t="s">
        <v>40</v>
      </c>
      <c r="B8" s="18"/>
    </row>
    <row r="9" spans="1:2" x14ac:dyDescent="0.3">
      <c r="A9" s="54" t="s">
        <v>41</v>
      </c>
      <c r="B9" s="18"/>
    </row>
    <row r="10" spans="1:2" x14ac:dyDescent="0.3">
      <c r="A10" s="55" t="s">
        <v>60</v>
      </c>
      <c r="B10" s="18"/>
    </row>
    <row r="11" spans="1:2" x14ac:dyDescent="0.3">
      <c r="A11" s="19" t="s">
        <v>16</v>
      </c>
      <c r="B11" s="20">
        <f>SUM(B4:B10)</f>
        <v>76999.528075170005</v>
      </c>
    </row>
    <row r="12" spans="1:2" ht="15" thickBot="1" x14ac:dyDescent="0.35">
      <c r="A12" s="21"/>
      <c r="B12" s="6"/>
    </row>
    <row r="13" spans="1:2" ht="15" thickBot="1" x14ac:dyDescent="0.35">
      <c r="A13" s="269" t="s">
        <v>58</v>
      </c>
      <c r="B13" s="270"/>
    </row>
    <row r="14" spans="1:2" x14ac:dyDescent="0.3">
      <c r="A14" s="53" t="s">
        <v>42</v>
      </c>
      <c r="B14" s="17"/>
    </row>
    <row r="15" spans="1:2" x14ac:dyDescent="0.3">
      <c r="A15" s="54" t="s">
        <v>43</v>
      </c>
      <c r="B15" s="18"/>
    </row>
    <row r="16" spans="1:2" x14ac:dyDescent="0.3">
      <c r="A16" s="54" t="s">
        <v>44</v>
      </c>
      <c r="B16" s="18">
        <v>0</v>
      </c>
    </row>
    <row r="17" spans="1:2" x14ac:dyDescent="0.3">
      <c r="A17" s="19" t="s">
        <v>16</v>
      </c>
      <c r="B17" s="20">
        <f>SUM(B14:B16)</f>
        <v>0</v>
      </c>
    </row>
    <row r="18" spans="1:2" ht="15" thickBot="1" x14ac:dyDescent="0.35">
      <c r="A18" s="22"/>
      <c r="B18" s="6"/>
    </row>
    <row r="19" spans="1:2" ht="15" thickBot="1" x14ac:dyDescent="0.35">
      <c r="A19" s="269" t="s">
        <v>59</v>
      </c>
      <c r="B19" s="270"/>
    </row>
    <row r="20" spans="1:2" x14ac:dyDescent="0.3">
      <c r="A20" s="271" t="s">
        <v>45</v>
      </c>
      <c r="B20" s="271"/>
    </row>
    <row r="21" spans="1:2" x14ac:dyDescent="0.3">
      <c r="A21" s="55" t="s">
        <v>46</v>
      </c>
      <c r="B21" s="18"/>
    </row>
    <row r="22" spans="1:2" x14ac:dyDescent="0.3">
      <c r="A22" s="56" t="s">
        <v>47</v>
      </c>
      <c r="B22" s="18"/>
    </row>
    <row r="23" spans="1:2" x14ac:dyDescent="0.3">
      <c r="A23" s="56" t="s">
        <v>48</v>
      </c>
      <c r="B23" s="18"/>
    </row>
    <row r="24" spans="1:2" x14ac:dyDescent="0.3">
      <c r="A24" s="56" t="s">
        <v>49</v>
      </c>
      <c r="B24" s="18"/>
    </row>
    <row r="25" spans="1:2" x14ac:dyDescent="0.3">
      <c r="A25" s="56" t="s">
        <v>50</v>
      </c>
      <c r="B25" s="18"/>
    </row>
    <row r="26" spans="1:2" x14ac:dyDescent="0.3">
      <c r="A26" s="56" t="s">
        <v>53</v>
      </c>
      <c r="B26" s="18"/>
    </row>
    <row r="27" spans="1:2" x14ac:dyDescent="0.3">
      <c r="A27" s="56" t="s">
        <v>51</v>
      </c>
      <c r="B27" s="18"/>
    </row>
    <row r="28" spans="1:2" x14ac:dyDescent="0.3">
      <c r="A28" s="56" t="s">
        <v>51</v>
      </c>
      <c r="B28" s="18"/>
    </row>
    <row r="29" spans="1:2" x14ac:dyDescent="0.3">
      <c r="A29" s="57" t="s">
        <v>52</v>
      </c>
      <c r="B29" s="23">
        <f>SUM(B21:B28)</f>
        <v>0</v>
      </c>
    </row>
    <row r="30" spans="1:2" x14ac:dyDescent="0.3">
      <c r="A30" s="265" t="s">
        <v>80</v>
      </c>
      <c r="B30" s="266"/>
    </row>
    <row r="31" spans="1:2" x14ac:dyDescent="0.3">
      <c r="A31" s="54" t="s">
        <v>46</v>
      </c>
      <c r="B31" s="18"/>
    </row>
    <row r="32" spans="1:2" x14ac:dyDescent="0.3">
      <c r="A32" s="58" t="s">
        <v>47</v>
      </c>
      <c r="B32" s="18"/>
    </row>
    <row r="33" spans="1:2" x14ac:dyDescent="0.3">
      <c r="A33" s="58" t="s">
        <v>48</v>
      </c>
      <c r="B33" s="18"/>
    </row>
    <row r="34" spans="1:2" x14ac:dyDescent="0.3">
      <c r="A34" s="58" t="s">
        <v>49</v>
      </c>
      <c r="B34" s="18"/>
    </row>
    <row r="35" spans="1:2" x14ac:dyDescent="0.3">
      <c r="A35" s="58" t="s">
        <v>50</v>
      </c>
      <c r="B35" s="18"/>
    </row>
    <row r="36" spans="1:2" x14ac:dyDescent="0.3">
      <c r="A36" s="58" t="s">
        <v>53</v>
      </c>
      <c r="B36" s="18"/>
    </row>
    <row r="37" spans="1:2" x14ac:dyDescent="0.3">
      <c r="A37" s="58" t="s">
        <v>51</v>
      </c>
      <c r="B37" s="18"/>
    </row>
    <row r="38" spans="1:2" x14ac:dyDescent="0.3">
      <c r="A38" s="58" t="s">
        <v>51</v>
      </c>
      <c r="B38" s="18"/>
    </row>
    <row r="39" spans="1:2" x14ac:dyDescent="0.3">
      <c r="A39" s="57" t="s">
        <v>54</v>
      </c>
      <c r="B39" s="23">
        <f>SUM(B31:B38)</f>
        <v>0</v>
      </c>
    </row>
    <row r="40" spans="1:2" x14ac:dyDescent="0.3">
      <c r="A40" s="24"/>
      <c r="B40" s="25"/>
    </row>
    <row r="41" spans="1:2" x14ac:dyDescent="0.3">
      <c r="A41" s="59" t="s">
        <v>55</v>
      </c>
      <c r="B41" s="23">
        <f>+B29+B39</f>
        <v>0</v>
      </c>
    </row>
    <row r="42" spans="1:2" x14ac:dyDescent="0.3">
      <c r="A42" s="24" t="s">
        <v>56</v>
      </c>
      <c r="B42" s="26">
        <v>0.04</v>
      </c>
    </row>
    <row r="43" spans="1:2" x14ac:dyDescent="0.3">
      <c r="A43" s="60" t="s">
        <v>61</v>
      </c>
      <c r="B43" s="20">
        <f>+B41*B42</f>
        <v>0</v>
      </c>
    </row>
    <row r="44" spans="1:2" x14ac:dyDescent="0.3">
      <c r="A44" s="27"/>
      <c r="B44" s="28"/>
    </row>
    <row r="45" spans="1:2" x14ac:dyDescent="0.3">
      <c r="A45" s="59" t="s">
        <v>96</v>
      </c>
      <c r="B45" s="20">
        <f>+B11+B17+B43</f>
        <v>76999.528075170005</v>
      </c>
    </row>
    <row r="46" spans="1:2" x14ac:dyDescent="0.3">
      <c r="A46" s="7"/>
      <c r="B46" s="6"/>
    </row>
  </sheetData>
  <mergeCells count="6">
    <mergeCell ref="A30:B30"/>
    <mergeCell ref="A1:B1"/>
    <mergeCell ref="A3:B3"/>
    <mergeCell ref="A13:B13"/>
    <mergeCell ref="A19:B19"/>
    <mergeCell ref="A20:B20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opLeftCell="F1" workbookViewId="0">
      <selection activeCell="G21" sqref="G21"/>
    </sheetView>
  </sheetViews>
  <sheetFormatPr defaultRowHeight="14.4" x14ac:dyDescent="0.3"/>
  <cols>
    <col min="1" max="1" width="47.5546875" customWidth="1"/>
    <col min="2" max="2" width="17.5546875" customWidth="1"/>
    <col min="3" max="3" width="16.6640625" customWidth="1"/>
    <col min="4" max="4" width="16.33203125" customWidth="1"/>
    <col min="5" max="5" width="15.6640625" customWidth="1"/>
    <col min="6" max="6" width="15.109375" customWidth="1"/>
    <col min="7" max="7" width="16.109375" customWidth="1"/>
    <col min="13" max="13" width="14.6640625" bestFit="1" customWidth="1"/>
  </cols>
  <sheetData>
    <row r="1" spans="1:7" ht="26.4" thickBot="1" x14ac:dyDescent="0.55000000000000004">
      <c r="A1" s="255" t="s">
        <v>34</v>
      </c>
      <c r="B1" s="272"/>
      <c r="C1" s="272"/>
      <c r="D1" s="272"/>
      <c r="E1" s="272"/>
      <c r="F1" s="272"/>
      <c r="G1" s="273"/>
    </row>
    <row r="2" spans="1:7" ht="15" thickBot="1" x14ac:dyDescent="0.35">
      <c r="A2" s="7"/>
      <c r="B2" s="7"/>
      <c r="C2" s="7"/>
      <c r="D2" s="7"/>
      <c r="E2" s="7"/>
      <c r="F2" s="7"/>
      <c r="G2" s="7"/>
    </row>
    <row r="3" spans="1:7" ht="30" customHeight="1" x14ac:dyDescent="0.3">
      <c r="A3" s="7"/>
      <c r="B3" s="63" t="s">
        <v>83</v>
      </c>
      <c r="C3" s="63" t="s">
        <v>84</v>
      </c>
      <c r="D3" s="63" t="s">
        <v>85</v>
      </c>
      <c r="E3" s="63" t="s">
        <v>86</v>
      </c>
      <c r="F3" s="63" t="s">
        <v>108</v>
      </c>
      <c r="G3" s="63" t="s">
        <v>17</v>
      </c>
    </row>
    <row r="4" spans="1:7" ht="15" customHeight="1" x14ac:dyDescent="0.3">
      <c r="A4" s="9" t="s">
        <v>90</v>
      </c>
      <c r="B4" s="16"/>
      <c r="C4" s="16"/>
      <c r="D4" s="16"/>
      <c r="E4" s="16"/>
      <c r="F4" s="16"/>
      <c r="G4" s="16"/>
    </row>
    <row r="5" spans="1:7" x14ac:dyDescent="0.3">
      <c r="A5" s="12" t="s">
        <v>33</v>
      </c>
      <c r="B5" s="13"/>
      <c r="C5" s="13">
        <v>3508</v>
      </c>
      <c r="D5" s="13"/>
      <c r="E5" s="13">
        <v>8202</v>
      </c>
      <c r="F5" s="13"/>
      <c r="G5" s="14">
        <f>SUM(B5:F5)</f>
        <v>11710</v>
      </c>
    </row>
    <row r="6" spans="1:7" x14ac:dyDescent="0.3">
      <c r="A6" s="12" t="s">
        <v>178</v>
      </c>
      <c r="B6" s="13"/>
      <c r="C6" s="13"/>
      <c r="D6" s="13"/>
      <c r="E6" s="13">
        <v>7832</v>
      </c>
      <c r="F6" s="13"/>
      <c r="G6" s="14">
        <f>SUM(B6:F6)</f>
        <v>7832</v>
      </c>
    </row>
    <row r="7" spans="1:7" x14ac:dyDescent="0.3">
      <c r="A7" s="77" t="s">
        <v>113</v>
      </c>
      <c r="B7" s="2">
        <f t="shared" ref="B7:G7" si="0">SUM(B5:B6)</f>
        <v>0</v>
      </c>
      <c r="C7" s="2">
        <f t="shared" si="0"/>
        <v>3508</v>
      </c>
      <c r="D7" s="2">
        <f t="shared" si="0"/>
        <v>0</v>
      </c>
      <c r="E7" s="2"/>
      <c r="F7" s="2">
        <f t="shared" si="0"/>
        <v>0</v>
      </c>
      <c r="G7" s="2">
        <f t="shared" si="0"/>
        <v>19542</v>
      </c>
    </row>
    <row r="8" spans="1:7" x14ac:dyDescent="0.3">
      <c r="A8" s="7"/>
      <c r="B8" s="7"/>
      <c r="C8" s="7"/>
      <c r="D8" s="7"/>
      <c r="E8" s="7"/>
      <c r="F8" s="7"/>
      <c r="G8" s="7"/>
    </row>
    <row r="9" spans="1:7" x14ac:dyDescent="0.3">
      <c r="A9" s="8" t="s">
        <v>76</v>
      </c>
      <c r="B9" s="16"/>
      <c r="C9" s="16"/>
      <c r="D9" s="16"/>
      <c r="E9" s="16"/>
      <c r="F9" s="16"/>
      <c r="G9" s="16"/>
    </row>
    <row r="10" spans="1:7" x14ac:dyDescent="0.3">
      <c r="A10" s="12" t="s">
        <v>161</v>
      </c>
      <c r="B10" s="13"/>
      <c r="C10" s="13"/>
      <c r="D10" s="13"/>
      <c r="E10" s="13">
        <f>68313.81*1.01687</f>
        <v>69466.263974699992</v>
      </c>
      <c r="F10" s="13"/>
      <c r="G10" s="14">
        <f>SUM(B10:F10)</f>
        <v>69466.263974699992</v>
      </c>
    </row>
    <row r="11" spans="1:7" x14ac:dyDescent="0.3">
      <c r="A11" s="12" t="s">
        <v>179</v>
      </c>
      <c r="B11" s="13"/>
      <c r="C11" s="13"/>
      <c r="D11" s="13"/>
      <c r="E11" s="13"/>
      <c r="F11" s="13">
        <v>8000</v>
      </c>
      <c r="G11" s="14"/>
    </row>
    <row r="12" spans="1:7" x14ac:dyDescent="0.3">
      <c r="A12" s="12" t="s">
        <v>162</v>
      </c>
      <c r="B12" s="13"/>
      <c r="C12" s="13"/>
      <c r="D12" s="13"/>
      <c r="E12" s="13">
        <f>57148.67*1.01687</f>
        <v>58112.768062899995</v>
      </c>
      <c r="F12" s="13"/>
      <c r="G12" s="14">
        <f>SUM(B12:F12)</f>
        <v>58112.768062899995</v>
      </c>
    </row>
    <row r="13" spans="1:7" x14ac:dyDescent="0.3">
      <c r="A13" s="12" t="s">
        <v>120</v>
      </c>
      <c r="B13" s="13"/>
      <c r="C13" s="13"/>
      <c r="D13" s="13"/>
      <c r="E13" s="13">
        <f>+CG!F49-CG!H49</f>
        <v>260114.745562595</v>
      </c>
      <c r="F13" s="13"/>
      <c r="G13" s="14">
        <f>SUM(B13:F13)</f>
        <v>260114.745562595</v>
      </c>
    </row>
    <row r="14" spans="1:7" x14ac:dyDescent="0.3">
      <c r="A14" s="77" t="s">
        <v>114</v>
      </c>
      <c r="B14" s="2">
        <f t="shared" ref="B14:F14" si="1">SUM(B10:B12)</f>
        <v>0</v>
      </c>
      <c r="C14" s="2">
        <f t="shared" si="1"/>
        <v>0</v>
      </c>
      <c r="D14" s="2">
        <f t="shared" si="1"/>
        <v>0</v>
      </c>
      <c r="E14" s="2">
        <f>SUM(E10:E13)</f>
        <v>387693.77760019497</v>
      </c>
      <c r="F14" s="2">
        <f t="shared" si="1"/>
        <v>8000</v>
      </c>
      <c r="G14" s="2">
        <f>SUM(G10:G13)</f>
        <v>387693.77760019497</v>
      </c>
    </row>
    <row r="15" spans="1:7" x14ac:dyDescent="0.3">
      <c r="A15" s="7"/>
      <c r="B15" s="7"/>
      <c r="C15" s="7"/>
      <c r="D15" s="7"/>
      <c r="E15" s="7"/>
      <c r="F15" s="7"/>
      <c r="G15" s="7"/>
    </row>
    <row r="16" spans="1:7" x14ac:dyDescent="0.3">
      <c r="A16" s="8" t="s">
        <v>70</v>
      </c>
      <c r="B16" s="16"/>
      <c r="C16" s="16"/>
      <c r="D16" s="16"/>
      <c r="E16" s="16"/>
      <c r="F16" s="16"/>
      <c r="G16" s="16"/>
    </row>
    <row r="17" spans="1:13" x14ac:dyDescent="0.3">
      <c r="A17" s="12" t="s">
        <v>160</v>
      </c>
      <c r="B17" s="13">
        <f>6893.39*1.01687</f>
        <v>7009.6814893000001</v>
      </c>
      <c r="C17" s="13">
        <f>8391*1.01687</f>
        <v>8532.5561699999998</v>
      </c>
      <c r="D17" s="13"/>
      <c r="E17" s="13"/>
      <c r="F17" s="13"/>
      <c r="G17" s="14">
        <f>SUM(B17:F17)</f>
        <v>15542.237659300001</v>
      </c>
    </row>
    <row r="18" spans="1:13" x14ac:dyDescent="0.3">
      <c r="A18" s="12"/>
      <c r="B18" s="13"/>
      <c r="C18" s="13"/>
      <c r="D18" s="13"/>
      <c r="E18" s="13"/>
      <c r="F18" s="13"/>
      <c r="G18" s="14">
        <f>SUM(B18:F18)</f>
        <v>0</v>
      </c>
    </row>
    <row r="19" spans="1:13" x14ac:dyDescent="0.3">
      <c r="A19" s="12" t="s">
        <v>94</v>
      </c>
      <c r="B19" s="274"/>
      <c r="C19" s="275"/>
      <c r="D19" s="275"/>
      <c r="E19" s="276"/>
      <c r="F19" s="13">
        <v>46000</v>
      </c>
      <c r="G19" s="14">
        <f t="shared" ref="G19:G22" si="2">+F19</f>
        <v>46000</v>
      </c>
    </row>
    <row r="20" spans="1:13" x14ac:dyDescent="0.3">
      <c r="A20" s="12" t="s">
        <v>111</v>
      </c>
      <c r="B20" s="277"/>
      <c r="C20" s="278"/>
      <c r="D20" s="278"/>
      <c r="E20" s="279"/>
      <c r="F20" s="13"/>
      <c r="G20" s="14">
        <f t="shared" si="2"/>
        <v>0</v>
      </c>
    </row>
    <row r="21" spans="1:13" x14ac:dyDescent="0.3">
      <c r="A21" s="52" t="s">
        <v>110</v>
      </c>
      <c r="B21" s="277"/>
      <c r="C21" s="278"/>
      <c r="D21" s="278"/>
      <c r="E21" s="279"/>
      <c r="F21" s="13">
        <v>-1827.83</v>
      </c>
      <c r="G21" s="14">
        <f t="shared" si="2"/>
        <v>-1827.83</v>
      </c>
    </row>
    <row r="22" spans="1:13" x14ac:dyDescent="0.3">
      <c r="A22" s="40" t="s">
        <v>95</v>
      </c>
      <c r="B22" s="280"/>
      <c r="C22" s="281"/>
      <c r="D22" s="281"/>
      <c r="E22" s="282"/>
      <c r="F22" s="34">
        <v>0</v>
      </c>
      <c r="G22" s="14">
        <f t="shared" si="2"/>
        <v>0</v>
      </c>
    </row>
    <row r="23" spans="1:13" x14ac:dyDescent="0.3">
      <c r="A23" s="77" t="s">
        <v>115</v>
      </c>
      <c r="B23" s="2">
        <f>SUM(B17:B18)</f>
        <v>7009.6814893000001</v>
      </c>
      <c r="C23" s="2">
        <f>SUM(C17:C18)</f>
        <v>8532.5561699999998</v>
      </c>
      <c r="D23" s="2">
        <f>SUM(D17:D18)</f>
        <v>0</v>
      </c>
      <c r="E23" s="2">
        <f>SUM(E17:E18)</f>
        <v>0</v>
      </c>
      <c r="F23" s="2">
        <f>SUM(F17:F22)</f>
        <v>44172.17</v>
      </c>
      <c r="G23" s="2">
        <f>SUM(G17:G22)</f>
        <v>59714.407659299999</v>
      </c>
    </row>
    <row r="24" spans="1:13" ht="15" thickBot="1" x14ac:dyDescent="0.35">
      <c r="A24" s="7"/>
      <c r="B24" s="7"/>
      <c r="C24" s="7"/>
      <c r="D24" s="7"/>
      <c r="E24" s="7"/>
      <c r="F24" s="7"/>
      <c r="G24" s="7"/>
    </row>
    <row r="25" spans="1:13" ht="16.2" thickBot="1" x14ac:dyDescent="0.35">
      <c r="A25" s="76" t="s">
        <v>32</v>
      </c>
      <c r="B25" s="64">
        <f t="shared" ref="B25:G25" si="3">+B7+B14+B23</f>
        <v>7009.6814893000001</v>
      </c>
      <c r="C25" s="64">
        <f t="shared" si="3"/>
        <v>12040.55617</v>
      </c>
      <c r="D25" s="64">
        <f t="shared" si="3"/>
        <v>0</v>
      </c>
      <c r="E25" s="64">
        <f t="shared" si="3"/>
        <v>387693.77760019497</v>
      </c>
      <c r="F25" s="64">
        <f t="shared" si="3"/>
        <v>52172.17</v>
      </c>
      <c r="G25" s="64">
        <f t="shared" si="3"/>
        <v>466950.18525949499</v>
      </c>
    </row>
    <row r="26" spans="1:13" x14ac:dyDescent="0.3">
      <c r="A26" s="40"/>
      <c r="B26" s="38"/>
      <c r="C26" s="39"/>
      <c r="D26" s="39"/>
      <c r="E26" s="39"/>
      <c r="F26" s="34"/>
      <c r="G26" s="37"/>
    </row>
    <row r="27" spans="1:13" x14ac:dyDescent="0.3">
      <c r="E27" s="37"/>
      <c r="M27" s="37"/>
    </row>
    <row r="29" spans="1:13" x14ac:dyDescent="0.3">
      <c r="M29" s="37"/>
    </row>
    <row r="30" spans="1:13" x14ac:dyDescent="0.3">
      <c r="M30" s="37">
        <f>CG!M49+CC!G25+CK!B11</f>
        <v>1260948.3997122301</v>
      </c>
    </row>
  </sheetData>
  <mergeCells count="2">
    <mergeCell ref="A1:G1"/>
    <mergeCell ref="B19:E22"/>
  </mergeCells>
  <printOptions horizontalCentered="1"/>
  <pageMargins left="0.25" right="0.25" top="0.75" bottom="0.75" header="0.3" footer="0.3"/>
  <pageSetup paperSize="8" scale="98" orientation="landscape" horizont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K12" sqref="K12"/>
    </sheetView>
  </sheetViews>
  <sheetFormatPr defaultRowHeight="14.4" x14ac:dyDescent="0.3"/>
  <cols>
    <col min="1" max="1" width="44.109375" bestFit="1" customWidth="1"/>
    <col min="2" max="2" width="16.88671875" customWidth="1"/>
    <col min="3" max="3" width="17.33203125" customWidth="1"/>
  </cols>
  <sheetData>
    <row r="1" spans="1:3" ht="18.600000000000001" thickBot="1" x14ac:dyDescent="0.4">
      <c r="A1" s="91" t="s">
        <v>128</v>
      </c>
      <c r="B1" s="91"/>
      <c r="C1" s="91" t="s">
        <v>106</v>
      </c>
    </row>
    <row r="2" spans="1:3" x14ac:dyDescent="0.3">
      <c r="A2" s="180" t="s">
        <v>129</v>
      </c>
      <c r="B2" s="183"/>
      <c r="C2" s="11">
        <f>(CG!M24-CG!M47)*20/100</f>
        <v>40481.09892604201</v>
      </c>
    </row>
    <row r="3" spans="1:3" x14ac:dyDescent="0.3">
      <c r="A3" s="181" t="s">
        <v>130</v>
      </c>
      <c r="B3" s="182"/>
      <c r="C3" s="13">
        <v>0</v>
      </c>
    </row>
    <row r="4" spans="1:3" x14ac:dyDescent="0.3">
      <c r="A4" s="50" t="s">
        <v>16</v>
      </c>
      <c r="B4" s="184"/>
      <c r="C4" s="5">
        <f>SUM(C2:C3)</f>
        <v>40481.09892604201</v>
      </c>
    </row>
    <row r="5" spans="1:3" ht="15" thickBot="1" x14ac:dyDescent="0.35"/>
    <row r="6" spans="1:3" ht="18.600000000000001" thickBot="1" x14ac:dyDescent="0.4">
      <c r="A6" s="91" t="s">
        <v>133</v>
      </c>
      <c r="B6" s="92" t="s">
        <v>105</v>
      </c>
      <c r="C6" s="91" t="s">
        <v>106</v>
      </c>
    </row>
    <row r="7" spans="1:3" x14ac:dyDescent="0.3">
      <c r="A7" s="48" t="s">
        <v>99</v>
      </c>
      <c r="B7" s="61">
        <v>0</v>
      </c>
      <c r="C7" s="11">
        <v>0</v>
      </c>
    </row>
    <row r="8" spans="1:3" x14ac:dyDescent="0.3">
      <c r="A8" s="48" t="s">
        <v>100</v>
      </c>
      <c r="B8" s="62">
        <v>0</v>
      </c>
      <c r="C8" s="13">
        <v>0</v>
      </c>
    </row>
    <row r="9" spans="1:3" x14ac:dyDescent="0.3">
      <c r="A9" s="48" t="s">
        <v>101</v>
      </c>
      <c r="B9" s="62">
        <v>2544</v>
      </c>
      <c r="C9" s="13">
        <f>+B9</f>
        <v>2544</v>
      </c>
    </row>
    <row r="10" spans="1:3" x14ac:dyDescent="0.3">
      <c r="A10" s="48" t="s">
        <v>102</v>
      </c>
      <c r="B10" s="62">
        <v>24.51</v>
      </c>
      <c r="C10" s="13">
        <f>+B10</f>
        <v>24.51</v>
      </c>
    </row>
    <row r="11" spans="1:3" x14ac:dyDescent="0.3">
      <c r="A11" s="48" t="s">
        <v>103</v>
      </c>
      <c r="B11" s="62">
        <v>0</v>
      </c>
      <c r="C11" s="13">
        <v>0</v>
      </c>
    </row>
    <row r="12" spans="1:3" x14ac:dyDescent="0.3">
      <c r="A12" s="48" t="s">
        <v>104</v>
      </c>
      <c r="B12" s="62">
        <v>0</v>
      </c>
      <c r="C12" s="13">
        <v>0</v>
      </c>
    </row>
    <row r="13" spans="1:3" x14ac:dyDescent="0.3">
      <c r="A13" s="48" t="s">
        <v>127</v>
      </c>
      <c r="B13" s="62">
        <v>0</v>
      </c>
      <c r="C13" s="13">
        <v>0</v>
      </c>
    </row>
    <row r="14" spans="1:3" x14ac:dyDescent="0.3">
      <c r="A14" s="50" t="s">
        <v>16</v>
      </c>
      <c r="B14" s="94">
        <f>SUM(B7:B13)</f>
        <v>2568.5100000000002</v>
      </c>
      <c r="C14" s="5">
        <f>SUM(C7:C13)</f>
        <v>2568.5100000000002</v>
      </c>
    </row>
    <row r="15" spans="1:3" x14ac:dyDescent="0.3">
      <c r="A15" s="93"/>
      <c r="B15" s="95"/>
      <c r="C15" s="33"/>
    </row>
    <row r="16" spans="1:3" ht="15" thickBot="1" x14ac:dyDescent="0.35"/>
    <row r="17" spans="1:3" ht="18.600000000000001" thickBot="1" x14ac:dyDescent="0.4">
      <c r="A17" s="91" t="s">
        <v>123</v>
      </c>
      <c r="B17" s="92" t="s">
        <v>105</v>
      </c>
      <c r="C17" s="91" t="s">
        <v>106</v>
      </c>
    </row>
    <row r="18" spans="1:3" x14ac:dyDescent="0.3">
      <c r="A18" s="48" t="s">
        <v>124</v>
      </c>
      <c r="B18" s="62">
        <v>0</v>
      </c>
      <c r="C18" s="13">
        <v>0</v>
      </c>
    </row>
    <row r="19" spans="1:3" x14ac:dyDescent="0.3">
      <c r="A19" s="49" t="s">
        <v>125</v>
      </c>
      <c r="B19" s="62">
        <v>0</v>
      </c>
      <c r="C19" s="13">
        <v>0</v>
      </c>
    </row>
    <row r="20" spans="1:3" x14ac:dyDescent="0.3">
      <c r="A20" s="49" t="s">
        <v>180</v>
      </c>
      <c r="B20" s="62">
        <v>5020</v>
      </c>
      <c r="C20" s="13">
        <v>5020</v>
      </c>
    </row>
    <row r="21" spans="1:3" x14ac:dyDescent="0.3">
      <c r="A21" s="49" t="s">
        <v>126</v>
      </c>
      <c r="B21" s="62">
        <v>26104</v>
      </c>
      <c r="C21" s="13">
        <v>26104</v>
      </c>
    </row>
    <row r="22" spans="1:3" x14ac:dyDescent="0.3">
      <c r="A22" s="50" t="s">
        <v>16</v>
      </c>
      <c r="B22" s="94">
        <f>SUM(B18:B21)</f>
        <v>31124</v>
      </c>
      <c r="C22" s="5">
        <f>SUM(C18:C21)</f>
        <v>31124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opLeftCell="A7" workbookViewId="0">
      <selection activeCell="F29" sqref="F29"/>
    </sheetView>
  </sheetViews>
  <sheetFormatPr defaultRowHeight="14.4" x14ac:dyDescent="0.3"/>
  <cols>
    <col min="1" max="1" width="46.44140625" customWidth="1"/>
    <col min="2" max="2" width="17.44140625" customWidth="1"/>
    <col min="3" max="3" width="18.33203125" customWidth="1"/>
    <col min="7" max="7" width="19.88671875" customWidth="1"/>
    <col min="8" max="8" width="18.44140625" customWidth="1"/>
  </cols>
  <sheetData>
    <row r="1" spans="1:3" ht="21.6" thickBot="1" x14ac:dyDescent="0.45">
      <c r="A1" s="283" t="s">
        <v>65</v>
      </c>
      <c r="B1" s="284"/>
      <c r="C1" s="7"/>
    </row>
    <row r="2" spans="1:3" x14ac:dyDescent="0.3">
      <c r="A2" s="10" t="s">
        <v>77</v>
      </c>
      <c r="B2" s="11">
        <f>+CG!M49-CG!F51</f>
        <v>716998.68637756503</v>
      </c>
      <c r="C2" s="7"/>
    </row>
    <row r="3" spans="1:3" x14ac:dyDescent="0.3">
      <c r="A3" s="12" t="s">
        <v>78</v>
      </c>
      <c r="B3" s="13">
        <f>+CC!G25+CG!F51</f>
        <v>466950.18525949499</v>
      </c>
      <c r="C3" s="7"/>
    </row>
    <row r="4" spans="1:3" x14ac:dyDescent="0.3">
      <c r="A4" s="12" t="s">
        <v>72</v>
      </c>
      <c r="B4" s="13">
        <f>+CK!B45</f>
        <v>76999.528075170005</v>
      </c>
      <c r="C4" s="7"/>
    </row>
    <row r="5" spans="1:3" x14ac:dyDescent="0.3">
      <c r="A5" s="47" t="s">
        <v>109</v>
      </c>
      <c r="B5" s="13">
        <f>+Riduzioni!B14++Riduzioni!C14</f>
        <v>5137.0200000000004</v>
      </c>
      <c r="C5" s="7"/>
    </row>
    <row r="6" spans="1:3" x14ac:dyDescent="0.3">
      <c r="A6" s="47" t="s">
        <v>123</v>
      </c>
      <c r="B6" s="13">
        <f>+Riduzioni!B22+Riduzioni!C22</f>
        <v>62248</v>
      </c>
      <c r="C6" s="7"/>
    </row>
    <row r="7" spans="1:3" x14ac:dyDescent="0.3">
      <c r="A7" s="47" t="s">
        <v>131</v>
      </c>
      <c r="B7" s="13">
        <f>-B6</f>
        <v>-62248</v>
      </c>
      <c r="C7" s="7"/>
    </row>
    <row r="8" spans="1:3" x14ac:dyDescent="0.3">
      <c r="A8" s="4" t="s">
        <v>116</v>
      </c>
      <c r="B8" s="5">
        <f>SUM(B2:B7)</f>
        <v>1266085.4197122301</v>
      </c>
      <c r="C8" s="7"/>
    </row>
    <row r="9" spans="1:3" ht="15" thickBot="1" x14ac:dyDescent="0.35">
      <c r="A9" s="31"/>
      <c r="B9" s="33"/>
      <c r="C9" s="7"/>
    </row>
    <row r="10" spans="1:3" ht="15" thickBot="1" x14ac:dyDescent="0.35">
      <c r="A10" s="96" t="s">
        <v>132</v>
      </c>
      <c r="B10" s="97">
        <f>+Riduzioni!C4</f>
        <v>40481.09892604201</v>
      </c>
      <c r="C10" s="7"/>
    </row>
    <row r="11" spans="1:3" x14ac:dyDescent="0.3">
      <c r="A11" s="7"/>
      <c r="B11" s="7"/>
      <c r="C11" s="7"/>
    </row>
    <row r="12" spans="1:3" ht="15" thickBot="1" x14ac:dyDescent="0.35">
      <c r="A12" s="7"/>
      <c r="B12" s="7"/>
      <c r="C12" s="7"/>
    </row>
    <row r="13" spans="1:3" ht="21.6" thickBot="1" x14ac:dyDescent="0.45">
      <c r="A13" s="283" t="s">
        <v>62</v>
      </c>
      <c r="B13" s="284"/>
      <c r="C13" s="7"/>
    </row>
    <row r="14" spans="1:3" x14ac:dyDescent="0.3">
      <c r="A14" s="7"/>
      <c r="B14" s="7"/>
      <c r="C14" s="7"/>
    </row>
    <row r="15" spans="1:3" ht="15" thickBot="1" x14ac:dyDescent="0.35">
      <c r="A15" s="7"/>
      <c r="B15" s="7"/>
      <c r="C15" s="7"/>
    </row>
    <row r="16" spans="1:3" ht="15" thickBot="1" x14ac:dyDescent="0.35">
      <c r="A16" s="285" t="s">
        <v>66</v>
      </c>
      <c r="B16" s="286"/>
      <c r="C16" s="7"/>
    </row>
    <row r="17" spans="1:4" x14ac:dyDescent="0.3">
      <c r="A17" s="10" t="s">
        <v>97</v>
      </c>
      <c r="B17" s="11">
        <f>+CG!M9</f>
        <v>108405.23753216499</v>
      </c>
      <c r="C17" s="7"/>
    </row>
    <row r="18" spans="1:4" x14ac:dyDescent="0.3">
      <c r="A18" s="12" t="s">
        <v>79</v>
      </c>
      <c r="B18" s="13">
        <f>+CG!M10</f>
        <v>210899.63</v>
      </c>
      <c r="C18" s="7"/>
    </row>
    <row r="19" spans="1:4" x14ac:dyDescent="0.3">
      <c r="A19" s="12" t="s">
        <v>67</v>
      </c>
      <c r="B19" s="13">
        <f>+CG!M24</f>
        <v>258484.95463021004</v>
      </c>
      <c r="C19" s="7"/>
    </row>
    <row r="20" spans="1:4" x14ac:dyDescent="0.3">
      <c r="A20" s="12" t="s">
        <v>68</v>
      </c>
      <c r="B20" s="13">
        <f>+CG!M47</f>
        <v>56079.459999999992</v>
      </c>
      <c r="C20" s="7"/>
    </row>
    <row r="21" spans="1:4" x14ac:dyDescent="0.3">
      <c r="A21" s="12" t="s">
        <v>107</v>
      </c>
      <c r="B21" s="13">
        <f>+Riduzioni!C14</f>
        <v>2568.5100000000002</v>
      </c>
      <c r="C21" s="7"/>
    </row>
    <row r="22" spans="1:4" x14ac:dyDescent="0.3">
      <c r="A22" s="81" t="s">
        <v>16</v>
      </c>
      <c r="B22" s="82">
        <f>SUM(B17:B21)</f>
        <v>636437.79216237506</v>
      </c>
      <c r="C22" s="7"/>
    </row>
    <row r="23" spans="1:4" ht="15" thickBot="1" x14ac:dyDescent="0.35">
      <c r="B23" s="7"/>
      <c r="C23" s="7"/>
    </row>
    <row r="24" spans="1:4" ht="15" thickBot="1" x14ac:dyDescent="0.35">
      <c r="A24" s="285" t="s">
        <v>63</v>
      </c>
      <c r="B24" s="286"/>
      <c r="C24" s="7"/>
    </row>
    <row r="25" spans="1:4" x14ac:dyDescent="0.3">
      <c r="A25" s="10" t="s">
        <v>93</v>
      </c>
      <c r="B25" s="11">
        <f>+CG!M8</f>
        <v>73727.404215190007</v>
      </c>
      <c r="C25" s="7"/>
    </row>
    <row r="26" spans="1:4" x14ac:dyDescent="0.3">
      <c r="A26" s="12" t="s">
        <v>91</v>
      </c>
      <c r="B26" s="13">
        <f>+CC!G7</f>
        <v>19542</v>
      </c>
      <c r="C26" s="7"/>
    </row>
    <row r="27" spans="1:4" x14ac:dyDescent="0.3">
      <c r="A27" s="12" t="s">
        <v>69</v>
      </c>
      <c r="B27" s="13">
        <f>+CC!G14</f>
        <v>387693.77760019497</v>
      </c>
      <c r="C27" s="7"/>
    </row>
    <row r="28" spans="1:4" x14ac:dyDescent="0.3">
      <c r="A28" s="12" t="s">
        <v>70</v>
      </c>
      <c r="B28" s="13">
        <f>+CC!G23</f>
        <v>59714.407659299999</v>
      </c>
      <c r="C28" s="7"/>
    </row>
    <row r="29" spans="1:4" x14ac:dyDescent="0.3">
      <c r="A29" s="12" t="s">
        <v>71</v>
      </c>
      <c r="B29" s="13">
        <f>+CG!M11</f>
        <v>9402</v>
      </c>
    </row>
    <row r="30" spans="1:4" x14ac:dyDescent="0.3">
      <c r="A30" s="79" t="s">
        <v>112</v>
      </c>
      <c r="B30" s="80">
        <f>+Riduzioni!B14</f>
        <v>2568.5100000000002</v>
      </c>
    </row>
    <row r="31" spans="1:4" x14ac:dyDescent="0.3">
      <c r="A31" s="81" t="s">
        <v>134</v>
      </c>
      <c r="B31" s="5">
        <f>SUM(B25:B30)</f>
        <v>552648.09947468503</v>
      </c>
      <c r="D31" s="98"/>
    </row>
    <row r="32" spans="1:4" x14ac:dyDescent="0.3">
      <c r="A32" s="12" t="s">
        <v>72</v>
      </c>
      <c r="B32" s="80">
        <f>+CK!B45</f>
        <v>76999.528075170005</v>
      </c>
    </row>
    <row r="33" spans="1:2" x14ac:dyDescent="0.3">
      <c r="A33" s="81" t="s">
        <v>64</v>
      </c>
      <c r="B33" s="82">
        <f>+B31+B32</f>
        <v>629647.62754985504</v>
      </c>
    </row>
    <row r="34" spans="1:2" x14ac:dyDescent="0.3">
      <c r="B34" s="51"/>
    </row>
    <row r="35" spans="1:2" x14ac:dyDescent="0.3">
      <c r="A35" s="185" t="s">
        <v>181</v>
      </c>
      <c r="B35" s="5">
        <f>+B22+B33</f>
        <v>1266085.4197122301</v>
      </c>
    </row>
    <row r="36" spans="1:2" x14ac:dyDescent="0.3">
      <c r="B36" s="186" t="str">
        <f>+IF(B35=B8,"Verificato","Non Verificato")</f>
        <v>Verificato</v>
      </c>
    </row>
    <row r="39" spans="1:2" x14ac:dyDescent="0.3">
      <c r="B39" s="37"/>
    </row>
    <row r="40" spans="1:2" x14ac:dyDescent="0.3">
      <c r="B40" s="37"/>
    </row>
    <row r="41" spans="1:2" x14ac:dyDescent="0.3">
      <c r="B41" s="37"/>
    </row>
  </sheetData>
  <mergeCells count="4">
    <mergeCell ref="A13:B13"/>
    <mergeCell ref="A16:B16"/>
    <mergeCell ref="A24:B24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Copertina</vt:lpstr>
      <vt:lpstr>CG</vt:lpstr>
      <vt:lpstr>CK</vt:lpstr>
      <vt:lpstr>CC</vt:lpstr>
      <vt:lpstr>Riduzioni</vt:lpstr>
      <vt:lpstr>Prosp.riass.</vt:lpstr>
      <vt:lpstr>CC!Area_stampa</vt:lpstr>
      <vt:lpstr>CG!Area_stampa</vt:lpstr>
      <vt:lpstr>CK!Area_stampa</vt:lpstr>
      <vt:lpstr>Copertina!Area_stampa</vt:lpstr>
      <vt:lpstr>Prosp.riass.!Area_stampa</vt:lpstr>
      <vt:lpstr>Riduzioni!Area_stampa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</dc:creator>
  <cp:lastModifiedBy>Roberta RL. Lai</cp:lastModifiedBy>
  <cp:lastPrinted>2019-03-12T11:25:09Z</cp:lastPrinted>
  <dcterms:created xsi:type="dcterms:W3CDTF">2012-07-15T13:54:16Z</dcterms:created>
  <dcterms:modified xsi:type="dcterms:W3CDTF">2019-03-14T14:51:57Z</dcterms:modified>
</cp:coreProperties>
</file>